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tropo\Documents\Composites and Materials Science\Composite Comparison\"/>
    </mc:Choice>
  </mc:AlternateContent>
  <xr:revisionPtr revIDLastSave="0" documentId="13_ncr:1_{CA80FFB6-F5F8-41D4-BEE1-22D5758A7861}" xr6:coauthVersionLast="47" xr6:coauthVersionMax="47" xr10:uidLastSave="{00000000-0000-0000-0000-000000000000}"/>
  <bookViews>
    <workbookView xWindow="-120" yWindow="-120" windowWidth="29040" windowHeight="15960" xr2:uid="{AD3FA49A-5BBA-4075-9026-A4A574A2BA90}"/>
  </bookViews>
  <sheets>
    <sheet name="Single Ply DNV" sheetId="1" r:id="rId1"/>
    <sheet name="Transverse Modulus" sheetId="8" r:id="rId2"/>
    <sheet name="Fiber Data" sheetId="4" r:id="rId3"/>
    <sheet name="Matrix Data" sheetId="6" r:id="rId4"/>
    <sheet name="DNV Ref" sheetId="2" state="hidden" r:id="rId5"/>
  </sheets>
  <definedNames>
    <definedName name="ℰ">'Transverse Modulus'!$M$34</definedName>
    <definedName name="E_11">'Single Ply DNV'!$C$44</definedName>
    <definedName name="E_CSM">'Single Ply DNV'!$C$59</definedName>
    <definedName name="E22_Brin">'Single Ply DNV'!$C$49</definedName>
    <definedName name="E22_Chamis">'Single Ply DNV'!$C$50</definedName>
    <definedName name="E22_DNV">'Single Ply DNV'!$C$45</definedName>
    <definedName name="E22_HT">'Single Ply DNV'!$C$48</definedName>
    <definedName name="E22_ROM">'Single Ply DNV'!$C$47</definedName>
    <definedName name="EfL">'Single Ply DNV'!$C$33</definedName>
    <definedName name="EfT">'Single Ply DNV'!$C$34</definedName>
    <definedName name="Em">'Single Ply DNV'!$C$35</definedName>
    <definedName name="Ém">'Transverse Modulus'!$O$34</definedName>
    <definedName name="Fiber_Type">'Fiber Data'!$B$12:$B$41</definedName>
    <definedName name="G_12">'Single Ply DNV'!$C$54</definedName>
    <definedName name="G_CSM">'Single Ply DNV'!$C$60</definedName>
    <definedName name="Gf_12">'Single Ply DNV'!$C$38</definedName>
    <definedName name="Gm">'Single Ply DNV'!$C$39</definedName>
    <definedName name="lbs_in3">'Single Ply DNV'!$E$23</definedName>
    <definedName name="n" localSheetId="0">'Single Ply DNV'!$O$95</definedName>
    <definedName name="n">'Transverse Modulus'!$B$34</definedName>
    <definedName name="ŋ">'Transverse Modulus'!$K$34</definedName>
    <definedName name="Pf">'Single Ply DNV'!$C$29</definedName>
    <definedName name="Pl">'Single Ply DNV'!$C$32</definedName>
    <definedName name="Pm">'Single Ply DNV'!$C$30</definedName>
    <definedName name="PSI">'Single Ply DNV'!$E$22</definedName>
    <definedName name="Q_11">'Single Ply DNV'!$C$79</definedName>
    <definedName name="Q_12">'Single Ply DNV'!$C$80</definedName>
    <definedName name="Q_21">'Single Ply DNV'!$C$83</definedName>
    <definedName name="Q_22">'Single Ply DNV'!$C$81</definedName>
    <definedName name="Q_33">'Single Ply DNV'!$C$82</definedName>
    <definedName name="Q11_CSM">'Single Ply DNV'!$C$87</definedName>
    <definedName name="Q12_CSM">'Single Ply DNV'!$C$88</definedName>
    <definedName name="Q22_CSM">'Single Ply DNV'!$C$89</definedName>
    <definedName name="Q33_CSM">'Single Ply DNV'!$C$90</definedName>
    <definedName name="Resin_Type">'Matrix Data'!$B$13:$B$61</definedName>
    <definedName name="v_12">'Single Ply DNV'!$C$52</definedName>
    <definedName name="v_21">'Single Ply DNV'!$C$53</definedName>
    <definedName name="v_CSM">'Single Ply DNV'!$C$61</definedName>
    <definedName name="vf_12">'Single Ply DNV'!$C$36</definedName>
    <definedName name="vm">'Single Ply DNV'!$C$37</definedName>
    <definedName name="ϴ">'Single Ply DNV'!$E$95</definedName>
    <definedName name="ϕ">'Single Ply DNV'!$C$28</definedName>
    <definedName name="ψ">'Single Ply DNV'!$C$31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6" i="1" l="1" a="1"/>
  <c r="O96" i="1" s="1"/>
  <c r="P96" i="1" s="1" a="1"/>
  <c r="P96" i="1" s="1"/>
  <c r="Q96" i="1" s="1" a="1"/>
  <c r="Q96" i="1" s="1"/>
  <c r="G23" i="6"/>
  <c r="X23" i="6"/>
  <c r="AO23" i="6"/>
  <c r="J18" i="1"/>
  <c r="J17" i="1"/>
  <c r="AM22" i="6"/>
  <c r="AO22" i="6" s="1"/>
  <c r="AJ22" i="6"/>
  <c r="AF22" i="6"/>
  <c r="AB22" i="6"/>
  <c r="X22" i="6"/>
  <c r="S22" i="6"/>
  <c r="G22" i="6"/>
  <c r="AM21" i="6"/>
  <c r="AO21" i="6" s="1"/>
  <c r="AJ21" i="6"/>
  <c r="AF21" i="6"/>
  <c r="AB21" i="6"/>
  <c r="X21" i="6"/>
  <c r="S21" i="6"/>
  <c r="G21" i="6"/>
  <c r="AM20" i="6"/>
  <c r="AO20" i="6" s="1"/>
  <c r="AJ20" i="6"/>
  <c r="AF20" i="6"/>
  <c r="AB20" i="6"/>
  <c r="X20" i="6"/>
  <c r="S20" i="6"/>
  <c r="G20" i="6"/>
  <c r="AM17" i="6"/>
  <c r="AO17" i="6" s="1"/>
  <c r="AM16" i="6"/>
  <c r="AO16" i="6" s="1"/>
  <c r="AM19" i="6"/>
  <c r="AO19" i="6" s="1"/>
  <c r="AJ19" i="6"/>
  <c r="AF19" i="6"/>
  <c r="AB19" i="6"/>
  <c r="X19" i="6"/>
  <c r="S19" i="6"/>
  <c r="G19" i="6"/>
  <c r="G18" i="6"/>
  <c r="S18" i="6"/>
  <c r="X18" i="6"/>
  <c r="AB18" i="6"/>
  <c r="AF18" i="6"/>
  <c r="AJ18" i="6"/>
  <c r="AM18" i="6"/>
  <c r="AO18" i="6" s="1"/>
  <c r="AJ17" i="6"/>
  <c r="AF17" i="6"/>
  <c r="AB17" i="6"/>
  <c r="X17" i="6"/>
  <c r="S17" i="6"/>
  <c r="G17" i="6"/>
  <c r="AJ16" i="6"/>
  <c r="AF16" i="6"/>
  <c r="AB16" i="6"/>
  <c r="X16" i="6"/>
  <c r="S16" i="6"/>
  <c r="G16" i="6"/>
  <c r="B36" i="8" a="1"/>
  <c r="B36" i="8" s="1"/>
  <c r="E95" i="1"/>
  <c r="C15" i="8"/>
  <c r="C26" i="8" s="1"/>
  <c r="I15" i="8"/>
  <c r="C28" i="8" s="1"/>
  <c r="C36" i="1"/>
  <c r="W19" i="4"/>
  <c r="Y19" i="4" s="1"/>
  <c r="W18" i="4"/>
  <c r="Y18" i="4" s="1"/>
  <c r="Y13" i="4"/>
  <c r="Y14" i="4"/>
  <c r="Y15" i="4"/>
  <c r="Y31" i="4"/>
  <c r="Y24" i="4"/>
  <c r="Y25" i="4"/>
  <c r="Y26" i="4"/>
  <c r="Y27" i="4"/>
  <c r="Y28" i="4"/>
  <c r="Y29" i="4"/>
  <c r="Y30" i="4"/>
  <c r="Y23" i="4"/>
  <c r="C35" i="1"/>
  <c r="C37" i="1"/>
  <c r="C33" i="1"/>
  <c r="C30" i="1"/>
  <c r="AO25" i="6"/>
  <c r="X25" i="6"/>
  <c r="G25" i="6"/>
  <c r="AD33" i="4"/>
  <c r="Y33" i="4"/>
  <c r="U33" i="4"/>
  <c r="G33" i="4"/>
  <c r="AD32" i="4"/>
  <c r="Y32" i="4"/>
  <c r="U32" i="4"/>
  <c r="G32" i="4"/>
  <c r="Y21" i="4"/>
  <c r="Y16" i="4"/>
  <c r="AD16" i="4"/>
  <c r="U16" i="4"/>
  <c r="G16" i="4"/>
  <c r="AD21" i="4"/>
  <c r="U21" i="4"/>
  <c r="G21" i="4"/>
  <c r="K34" i="8" l="1"/>
  <c r="K36" i="8" s="1" a="1"/>
  <c r="K36" i="8" s="1"/>
  <c r="E26" i="8"/>
  <c r="C34" i="1"/>
  <c r="C45" i="1" s="1"/>
  <c r="E45" i="1" s="1"/>
  <c r="C27" i="8"/>
  <c r="O34" i="8" s="1"/>
  <c r="O36" i="8" s="1" a="1"/>
  <c r="O36" i="8" s="1"/>
  <c r="C44" i="1"/>
  <c r="C72" i="1"/>
  <c r="C39" i="1"/>
  <c r="C74" i="1"/>
  <c r="S36" i="8" l="1" a="1"/>
  <c r="S36" i="8" s="1"/>
  <c r="U36" i="8" s="1" a="1"/>
  <c r="U36" i="8" s="1"/>
  <c r="C36" i="8" a="1"/>
  <c r="C36" i="8" s="1"/>
  <c r="E36" i="8" s="1" a="1"/>
  <c r="E36" i="8" s="1"/>
  <c r="M36" i="8" a="1"/>
  <c r="M36" i="8" s="1"/>
  <c r="G36" i="8" a="1"/>
  <c r="G36" i="8" s="1"/>
  <c r="C47" i="1" s="1"/>
  <c r="E47" i="1" s="1"/>
  <c r="E27" i="8"/>
  <c r="Q36" i="8" a="1"/>
  <c r="Q36" i="8" s="1"/>
  <c r="C49" i="1"/>
  <c r="E49" i="1" s="1"/>
  <c r="AD15" i="4"/>
  <c r="U15" i="4"/>
  <c r="P15" i="4"/>
  <c r="G15" i="4"/>
  <c r="C48" i="1" l="1"/>
  <c r="I36" i="8" a="1"/>
  <c r="I36" i="8" s="1"/>
  <c r="E35" i="1"/>
  <c r="E30" i="1"/>
  <c r="AB19" i="4"/>
  <c r="AD19" i="4" s="1"/>
  <c r="E18" i="4"/>
  <c r="N18" i="4"/>
  <c r="P18" i="4" s="1"/>
  <c r="N19" i="4"/>
  <c r="P19" i="4" s="1"/>
  <c r="S20" i="4"/>
  <c r="W20" i="4" s="1"/>
  <c r="Y20" i="4" s="1"/>
  <c r="R20" i="4"/>
  <c r="N20" i="4"/>
  <c r="P20" i="4" s="1"/>
  <c r="E20" i="4"/>
  <c r="G20" i="4" s="1"/>
  <c r="AM15" i="6"/>
  <c r="AO15" i="6" s="1"/>
  <c r="AJ15" i="6"/>
  <c r="AF15" i="6"/>
  <c r="AB15" i="6"/>
  <c r="X15" i="6"/>
  <c r="S15" i="6"/>
  <c r="G15" i="6"/>
  <c r="AM14" i="6"/>
  <c r="AO14" i="6" s="1"/>
  <c r="AJ14" i="6"/>
  <c r="AF14" i="6"/>
  <c r="AB14" i="6"/>
  <c r="X14" i="6"/>
  <c r="S14" i="6"/>
  <c r="G14" i="6"/>
  <c r="AJ13" i="6"/>
  <c r="AF13" i="6"/>
  <c r="AB13" i="6"/>
  <c r="AM13" i="6"/>
  <c r="AO13" i="6" s="1"/>
  <c r="X13" i="6"/>
  <c r="S13" i="6"/>
  <c r="G13" i="6"/>
  <c r="AF14" i="4"/>
  <c r="AF13" i="4"/>
  <c r="AH31" i="4"/>
  <c r="AD31" i="4"/>
  <c r="U31" i="4"/>
  <c r="P31" i="4"/>
  <c r="G31" i="4"/>
  <c r="AH30" i="4"/>
  <c r="AD30" i="4"/>
  <c r="U30" i="4"/>
  <c r="P30" i="4"/>
  <c r="G30" i="4"/>
  <c r="AH29" i="4"/>
  <c r="AD29" i="4"/>
  <c r="U29" i="4"/>
  <c r="P29" i="4"/>
  <c r="G29" i="4"/>
  <c r="AD28" i="4"/>
  <c r="AH28" i="4"/>
  <c r="U28" i="4"/>
  <c r="P28" i="4"/>
  <c r="G28" i="4"/>
  <c r="AH25" i="4"/>
  <c r="AD25" i="4"/>
  <c r="U25" i="4"/>
  <c r="P25" i="4"/>
  <c r="G25" i="4"/>
  <c r="AH27" i="4"/>
  <c r="AD27" i="4"/>
  <c r="U27" i="4"/>
  <c r="P27" i="4"/>
  <c r="AH26" i="4"/>
  <c r="AD26" i="4"/>
  <c r="U26" i="4"/>
  <c r="P26" i="4"/>
  <c r="G26" i="4"/>
  <c r="AL14" i="4"/>
  <c r="AL13" i="4"/>
  <c r="AH24" i="4"/>
  <c r="G27" i="4"/>
  <c r="AD24" i="4"/>
  <c r="U24" i="4"/>
  <c r="P24" i="4"/>
  <c r="G24" i="4"/>
  <c r="G23" i="4"/>
  <c r="U23" i="4"/>
  <c r="P23" i="4"/>
  <c r="U19" i="4"/>
  <c r="G19" i="4"/>
  <c r="AD13" i="4"/>
  <c r="AD14" i="4"/>
  <c r="AB18" i="4"/>
  <c r="U14" i="4"/>
  <c r="U18" i="4"/>
  <c r="U13" i="4"/>
  <c r="P14" i="4"/>
  <c r="P13" i="4"/>
  <c r="G14" i="4"/>
  <c r="G13" i="4"/>
  <c r="E28" i="1"/>
  <c r="E34" i="1"/>
  <c r="E48" i="1" l="1"/>
  <c r="C67" i="1"/>
  <c r="C66" i="1"/>
  <c r="G18" i="4"/>
  <c r="C29" i="1"/>
  <c r="C32" i="1" s="1"/>
  <c r="AD18" i="4"/>
  <c r="C38" i="1"/>
  <c r="AB20" i="4"/>
  <c r="AD20" i="4" s="1"/>
  <c r="U20" i="4"/>
  <c r="AD23" i="4"/>
  <c r="C62" i="1"/>
  <c r="C52" i="1"/>
  <c r="E72" i="1"/>
  <c r="E33" i="1"/>
  <c r="W36" i="8" l="1" a="1"/>
  <c r="W36" i="8" s="1"/>
  <c r="E38" i="1"/>
  <c r="C54" i="1"/>
  <c r="C31" i="1"/>
  <c r="E31" i="1" s="1"/>
  <c r="E44" i="1"/>
  <c r="E29" i="1"/>
  <c r="E32" i="1"/>
  <c r="E39" i="1"/>
  <c r="C73" i="1"/>
  <c r="E73" i="1" s="1"/>
  <c r="E67" i="1"/>
  <c r="C59" i="1"/>
  <c r="E66" i="1"/>
  <c r="C53" i="1"/>
  <c r="C80" i="1" l="1"/>
  <c r="C83" i="1" s="1"/>
  <c r="E83" i="1" s="1"/>
  <c r="C89" i="1"/>
  <c r="E89" i="1" s="1"/>
  <c r="C88" i="1"/>
  <c r="C87" i="1"/>
  <c r="E87" i="1" s="1"/>
  <c r="Y36" i="8" a="1"/>
  <c r="Y36" i="8" s="1"/>
  <c r="C50" i="1"/>
  <c r="E50" i="1" s="1"/>
  <c r="C60" i="1"/>
  <c r="C90" i="1" s="1"/>
  <c r="E90" i="1" s="1"/>
  <c r="C79" i="1"/>
  <c r="C81" i="1"/>
  <c r="E59" i="1"/>
  <c r="E54" i="1"/>
  <c r="C82" i="1"/>
  <c r="C68" i="1"/>
  <c r="X96" i="1" l="1" a="1"/>
  <c r="X96" i="1" s="1"/>
  <c r="V96" i="1" a="1"/>
  <c r="V96" i="1" s="1"/>
  <c r="AB96" i="1" a="1"/>
  <c r="AB96" i="1" s="1"/>
  <c r="Z96" i="1" a="1"/>
  <c r="Z96" i="1" s="1"/>
  <c r="T96" i="1" a="1"/>
  <c r="T96" i="1" s="1"/>
  <c r="R96" i="1" a="1"/>
  <c r="R96" i="1" s="1"/>
  <c r="E88" i="1"/>
  <c r="C91" i="1"/>
  <c r="E91" i="1" s="1"/>
  <c r="C100" i="1"/>
  <c r="E100" i="1" s="1"/>
  <c r="C99" i="1"/>
  <c r="E99" i="1" s="1"/>
  <c r="C98" i="1"/>
  <c r="E98" i="1" s="1"/>
  <c r="C97" i="1"/>
  <c r="E97" i="1" s="1"/>
  <c r="C101" i="1"/>
  <c r="C102" i="1"/>
  <c r="E102" i="1" s="1"/>
  <c r="E60" i="1"/>
  <c r="E79" i="1"/>
  <c r="E81" i="1"/>
  <c r="E82" i="1"/>
  <c r="E80" i="1"/>
  <c r="E10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<sst xmlns="http://schemas.openxmlformats.org/spreadsheetml/2006/main" count="902" uniqueCount="306">
  <si>
    <t>ϕ</t>
  </si>
  <si>
    <t>ψ</t>
  </si>
  <si>
    <t>MPa</t>
  </si>
  <si>
    <t>PSI</t>
  </si>
  <si>
    <t>SI</t>
  </si>
  <si>
    <t>Imperial</t>
  </si>
  <si>
    <r>
      <t>g/cm</t>
    </r>
    <r>
      <rPr>
        <vertAlign val="superscript"/>
        <sz val="11"/>
        <color theme="1"/>
        <rFont val="Aptos Narrow"/>
        <family val="2"/>
        <scheme val="minor"/>
      </rPr>
      <t>3</t>
    </r>
  </si>
  <si>
    <r>
      <t>lbs/in</t>
    </r>
    <r>
      <rPr>
        <vertAlign val="superscript"/>
        <sz val="11"/>
        <color theme="1"/>
        <rFont val="Aptos Narrow"/>
        <family val="2"/>
        <scheme val="minor"/>
      </rPr>
      <t>3</t>
    </r>
  </si>
  <si>
    <t>volume content of reinforcement fiber in a laminate</t>
  </si>
  <si>
    <t>Young's modulus of resin matrix</t>
  </si>
  <si>
    <t>density of resin matrix</t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</si>
  <si>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11</t>
    </r>
  </si>
  <si>
    <r>
      <t>P</t>
    </r>
    <r>
      <rPr>
        <b/>
        <i/>
        <vertAlign val="subscript"/>
        <sz val="11"/>
        <color theme="1"/>
        <rFont val="Aptos Narrow"/>
        <family val="2"/>
        <scheme val="minor"/>
      </rPr>
      <t>f</t>
    </r>
  </si>
  <si>
    <r>
      <t>P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</si>
  <si>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</si>
  <si>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fT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</si>
  <si>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</si>
  <si>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t>Unit Conversions</t>
  </si>
  <si>
    <r>
      <t>v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</si>
  <si>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t>Poisson's ratio of resin matrix</t>
  </si>
  <si>
    <r>
      <t>G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</si>
  <si>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r>
      <rPr>
        <b/>
        <i/>
        <sz val="11"/>
        <color theme="1"/>
        <rFont val="Aptos Narrow"/>
        <family val="2"/>
        <scheme val="minor"/>
      </rPr>
      <t>v</t>
    </r>
    <r>
      <rPr>
        <b/>
        <vertAlign val="subscript"/>
        <sz val="11"/>
        <color theme="1"/>
        <rFont val="Aptos Narrow"/>
        <family val="2"/>
        <scheme val="minor"/>
      </rPr>
      <t>12</t>
    </r>
  </si>
  <si>
    <r>
      <rPr>
        <b/>
        <i/>
        <sz val="11"/>
        <color theme="1"/>
        <rFont val="Aptos Narrow"/>
        <family val="2"/>
        <scheme val="minor"/>
      </rPr>
      <t>v</t>
    </r>
    <r>
      <rPr>
        <b/>
        <vertAlign val="subscript"/>
        <sz val="11"/>
        <color theme="1"/>
        <rFont val="Aptos Narrow"/>
        <family val="2"/>
        <scheme val="minor"/>
      </rPr>
      <t>21</t>
    </r>
  </si>
  <si>
    <r>
      <rPr>
        <b/>
        <i/>
        <sz val="11"/>
        <color theme="1"/>
        <rFont val="Aptos Narrow"/>
        <family val="2"/>
        <scheme val="minor"/>
      </rPr>
      <t>G</t>
    </r>
    <r>
      <rPr>
        <b/>
        <vertAlign val="subscript"/>
        <sz val="11"/>
        <color theme="1"/>
        <rFont val="Aptos Narrow"/>
        <family val="2"/>
        <scheme val="minor"/>
      </rPr>
      <t>12</t>
    </r>
  </si>
  <si>
    <r>
      <t>G</t>
    </r>
    <r>
      <rPr>
        <b/>
        <i/>
        <vertAlign val="subscript"/>
        <sz val="11"/>
        <color theme="1"/>
        <rFont val="Aptos Narrow"/>
        <family val="2"/>
        <scheme val="minor"/>
      </rPr>
      <t>f12</t>
    </r>
  </si>
  <si>
    <t>%</t>
  </si>
  <si>
    <r>
      <t>v</t>
    </r>
    <r>
      <rPr>
        <b/>
        <i/>
        <vertAlign val="subscript"/>
        <sz val="11"/>
        <color theme="1"/>
        <rFont val="Aptos Narrow"/>
        <family val="2"/>
        <scheme val="minor"/>
      </rPr>
      <t>f</t>
    </r>
    <r>
      <rPr>
        <b/>
        <vertAlign val="subscript"/>
        <sz val="11"/>
        <color theme="1"/>
        <rFont val="Aptos Narrow"/>
        <family val="2"/>
        <scheme val="minor"/>
      </rPr>
      <t>12</t>
    </r>
  </si>
  <si>
    <t>Shear modulus of resin matrix (DNV formula)</t>
  </si>
  <si>
    <r>
      <t>v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</si>
  <si>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t>density of reinforcement fiber</t>
  </si>
  <si>
    <t xml:space="preserve">Moisture Absorption at Equilibrium </t>
  </si>
  <si>
    <t>Composite Fiber Physical and Mechanical Properties</t>
  </si>
  <si>
    <t>Description</t>
  </si>
  <si>
    <t>Notes</t>
  </si>
  <si>
    <t>DuPont  Kevlar® 29 Aramid Fiber</t>
  </si>
  <si>
    <t>1500 Denier; 1000 Filaments</t>
  </si>
  <si>
    <t>Density</t>
  </si>
  <si>
    <t>Imp.</t>
  </si>
  <si>
    <t>psi</t>
  </si>
  <si>
    <t>Tensile Strength, Ultimate</t>
  </si>
  <si>
    <t>Elongation at Break</t>
  </si>
  <si>
    <t>GPa</t>
  </si>
  <si>
    <t>ksi</t>
  </si>
  <si>
    <t>Tenacity</t>
  </si>
  <si>
    <t>N/tex</t>
  </si>
  <si>
    <t>g/denier</t>
  </si>
  <si>
    <t>DuPont  Kevlar® 49 Aramid Fiber</t>
  </si>
  <si>
    <t>1140 Denier; 768 Filaments</t>
  </si>
  <si>
    <t>bone dry then condition @75F (24C) to 55% RH</t>
  </si>
  <si>
    <t>Poisson's Ratio</t>
  </si>
  <si>
    <t>AGY is the trademark holder for S-2 Glass®</t>
  </si>
  <si>
    <t>Shear Modulus</t>
  </si>
  <si>
    <t>Hexcel® HexTow® AS4 3-12K SM CF</t>
  </si>
  <si>
    <t>untwisted standard-modulus carbon fiber tow</t>
  </si>
  <si>
    <t>Standard Modulus; Twisted; PAN-based fiber</t>
  </si>
  <si>
    <t>dtex</t>
  </si>
  <si>
    <t>denier</t>
  </si>
  <si>
    <t>`</t>
  </si>
  <si>
    <t>Toho G30-500 3K HTA-7C EP03 CF Tow</t>
  </si>
  <si>
    <t>Toho G30-400 1K HTA-7W EP01 CF Tow</t>
  </si>
  <si>
    <t>Standard Modulus; Collimated; PAN-based fiber</t>
  </si>
  <si>
    <t>Toho G30-500 3K HTA-7W EP01 CF Tow</t>
  </si>
  <si>
    <t>Toho G30-500 3K HTA-7C EP01 CF Tow</t>
  </si>
  <si>
    <t>Toho G30-500 6K HTA-7C EP01 CF Tow</t>
  </si>
  <si>
    <t>Toho G30-500 6K HTA-7C EP03 CF Tow</t>
  </si>
  <si>
    <t>Toho G30-500 12K HTA-7C EP01 CF Tow</t>
  </si>
  <si>
    <t>Toho G30-500 12K HTA-7C EP03 CF Tow</t>
  </si>
  <si>
    <t>Linear Density</t>
  </si>
  <si>
    <t>as-shipped or after conditioning</t>
  </si>
  <si>
    <t>Gougeon PRO-SET® LAM-125/LAM-224</t>
  </si>
  <si>
    <t>22C (72F)</t>
  </si>
  <si>
    <t>Resin</t>
  </si>
  <si>
    <t>Hardener</t>
  </si>
  <si>
    <t>Mixed</t>
  </si>
  <si>
    <t>Tensile Modulus
ASTM D638</t>
  </si>
  <si>
    <t>Elongation at Break
ASTM D638</t>
  </si>
  <si>
    <t>Compressive Yield Strength
ASTM D695</t>
  </si>
  <si>
    <t>Flexural Strength
ASTM D790</t>
  </si>
  <si>
    <t>Flexural Modulus
ASTM D790</t>
  </si>
  <si>
    <t>Tensile Strength  
ASTM D638</t>
  </si>
  <si>
    <t>672 hrs @ 22C (72F)</t>
  </si>
  <si>
    <t>Gougeon PRO-SET® LAM-125/LAM-226</t>
  </si>
  <si>
    <t>150g</t>
  </si>
  <si>
    <t>Pot Life, minutes
ASTM D2471</t>
  </si>
  <si>
    <t>90-120</t>
  </si>
  <si>
    <t>15-19</t>
  </si>
  <si>
    <t>240-300</t>
  </si>
  <si>
    <t>120-180</t>
  </si>
  <si>
    <t>71-87</t>
  </si>
  <si>
    <t>Gougeon PRO-SET® LAM-125/LAM-229</t>
  </si>
  <si>
    <t>360-420</t>
  </si>
  <si>
    <t>Working Life, minutes</t>
  </si>
  <si>
    <t>130-160</t>
  </si>
  <si>
    <t>Source</t>
  </si>
  <si>
    <t>MatWeb</t>
  </si>
  <si>
    <t>Hexcel datasheet</t>
  </si>
  <si>
    <t>AGY S-2 Glass® Fiber</t>
  </si>
  <si>
    <t>AGY technical document</t>
  </si>
  <si>
    <t>AGY E-glass, generic</t>
  </si>
  <si>
    <t>OC/AGY E-CR glass. Silanes and starch oil binder</t>
  </si>
  <si>
    <t>AGY ADVANTEX® E-CR Generic Glass Fiber</t>
  </si>
  <si>
    <t>Calculated Value</t>
  </si>
  <si>
    <t>CK</t>
  </si>
  <si>
    <t>Fiber</t>
  </si>
  <si>
    <t>DuPont Aramid Technical Guide</t>
  </si>
  <si>
    <t>Poisson's ratio of fiber, parallel to fiber (longitudinal Poisson's ratio)</t>
  </si>
  <si>
    <t>Elastic properties of a single unidirectional lamina (DNV formulas)</t>
  </si>
  <si>
    <t>Longitudinal Young's modulus of lamina</t>
  </si>
  <si>
    <t>Longitudinal Poisson's ratio of lamina</t>
  </si>
  <si>
    <t>Transverse Poisson's ratio of lamina</t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</si>
  <si>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11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</si>
  <si>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22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</si>
  <si>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33</t>
    </r>
  </si>
  <si>
    <t>Single UD ply stiffness matrix in local coordinate system (DNV formulas)</t>
  </si>
  <si>
    <t>Single chopped strand mat ply stiffness matrix in local coordinate system (DNV formulas)</t>
  </si>
  <si>
    <t>Definitions and Associated Values</t>
  </si>
  <si>
    <t>Fiber and Resin Matrix Selection</t>
  </si>
  <si>
    <t>DNV-RU-Yacht; Part 3, Chapt. 5, Table 2</t>
  </si>
  <si>
    <t>Tensile Modulus, perpendicular to fiber</t>
  </si>
  <si>
    <t>Polyester, DNV generic value</t>
  </si>
  <si>
    <t>Epoxy, DNV generic value</t>
  </si>
  <si>
    <t>HS Carbon, DNV generic value</t>
  </si>
  <si>
    <t>HM Carbon, DNV generic value</t>
  </si>
  <si>
    <t>Aramid, DNV generic value</t>
  </si>
  <si>
    <t>E-Glass, DNV generic value</t>
  </si>
  <si>
    <t>Tensile Modulus, 
parallel to fiber</t>
  </si>
  <si>
    <t>Estimated or Assumed Value</t>
  </si>
  <si>
    <t>Value from Source</t>
  </si>
  <si>
    <t>KK Yeung &amp; KP Rav article: as provided by Dupont, USA</t>
  </si>
  <si>
    <t>DNV generic constituent materials property</t>
  </si>
  <si>
    <t>2022 DNV-RU-Yacht; Part 3, Chapt. 5, Table 2</t>
  </si>
  <si>
    <t>density of lamina (fiber + resin)</t>
  </si>
  <si>
    <t>Shear modulus of lamina, parallel to fibers</t>
  </si>
  <si>
    <t xml:space="preserve">Young's modulus of fiber, parallel to fiber </t>
  </si>
  <si>
    <t>Young's modulus of fiber, perpendicular to fiber</t>
  </si>
  <si>
    <t>mass content of reinforcement fiber in laminate</t>
  </si>
  <si>
    <t>volume content of reinforcement fiber in laminate</t>
  </si>
  <si>
    <r>
      <t>P</t>
    </r>
    <r>
      <rPr>
        <b/>
        <i/>
        <vertAlign val="subscript"/>
        <sz val="11"/>
        <color theme="1"/>
        <rFont val="Aptos Narrow"/>
        <family val="2"/>
        <scheme val="minor"/>
      </rPr>
      <t>L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</si>
  <si>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</si>
  <si>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t>G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</si>
  <si>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11</t>
    </r>
  </si>
  <si>
    <r>
      <t>E</t>
    </r>
    <r>
      <rPr>
        <b/>
        <i/>
        <vertAlign val="subscript"/>
        <sz val="11"/>
        <color theme="1"/>
        <rFont val="Aptos Narrow"/>
        <family val="2"/>
        <scheme val="minor"/>
      </rPr>
      <t>22</t>
    </r>
  </si>
  <si>
    <r>
      <t>lb/in</t>
    </r>
    <r>
      <rPr>
        <vertAlign val="superscript"/>
        <sz val="11"/>
        <color theme="1"/>
        <rFont val="Aptos Narrow"/>
        <family val="2"/>
        <scheme val="minor"/>
      </rPr>
      <t>3</t>
    </r>
  </si>
  <si>
    <r>
      <t>g/cm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/>
    </r>
  </si>
  <si>
    <r>
      <t>lb/in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/>
    </r>
  </si>
  <si>
    <r>
      <t xml:space="preserve">MatWeb (Poisson's ratio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12</t>
    </r>
    <r>
      <rPr>
        <sz val="11"/>
        <color theme="1"/>
        <rFont val="Aptos Narrow"/>
        <family val="2"/>
        <scheme val="minor"/>
      </rPr>
      <t xml:space="preserve"> from AGY)</t>
    </r>
  </si>
  <si>
    <t>Young's modulus of fiber, parallel to fiber</t>
  </si>
  <si>
    <r>
      <t>É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</si>
  <si>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r>
      <rPr>
        <sz val="11"/>
        <color theme="1"/>
        <rFont val="Aptos Narrow"/>
        <family val="2"/>
        <scheme val="minor"/>
      </rPr>
      <t>ϕ*</t>
    </r>
    <r>
      <rPr>
        <i/>
        <sz val="11"/>
        <color theme="1"/>
        <rFont val="Aptos Narrow"/>
        <family val="2"/>
        <scheme val="minor"/>
      </rPr>
      <t>P</t>
    </r>
    <r>
      <rPr>
        <i/>
        <vertAlign val="subscript"/>
        <sz val="11"/>
        <color theme="1"/>
        <rFont val="Aptos Narrow"/>
        <family val="2"/>
        <scheme val="minor"/>
      </rPr>
      <t xml:space="preserve">f </t>
    </r>
    <r>
      <rPr>
        <sz val="11"/>
        <color theme="1"/>
        <rFont val="Aptos Narrow"/>
        <family val="2"/>
        <scheme val="minor"/>
      </rPr>
      <t>/ [ϕ</t>
    </r>
    <r>
      <rPr>
        <i/>
        <sz val="11"/>
        <color theme="1"/>
        <rFont val="Aptos Narrow"/>
        <family val="2"/>
        <scheme val="minor"/>
      </rPr>
      <t>P</t>
    </r>
    <r>
      <rPr>
        <i/>
        <vertAlign val="subscript"/>
        <sz val="11"/>
        <color theme="1"/>
        <rFont val="Aptos Narrow"/>
        <family val="2"/>
        <scheme val="minor"/>
      </rPr>
      <t xml:space="preserve">f </t>
    </r>
    <r>
      <rPr>
        <sz val="11"/>
        <color theme="1"/>
        <rFont val="Aptos Narrow"/>
        <family val="2"/>
        <scheme val="minor"/>
      </rPr>
      <t>+ (1-ϕ)*</t>
    </r>
    <r>
      <rPr>
        <i/>
        <sz val="11"/>
        <color theme="1"/>
        <rFont val="Aptos Narrow"/>
        <family val="2"/>
        <scheme val="minor"/>
      </rPr>
      <t>P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>]</t>
    </r>
  </si>
  <si>
    <r>
      <t>ϕ</t>
    </r>
    <r>
      <rPr>
        <i/>
        <sz val="11"/>
        <color theme="1"/>
        <rFont val="Aptos Narrow"/>
        <family val="2"/>
        <scheme val="minor"/>
      </rPr>
      <t>P</t>
    </r>
    <r>
      <rPr>
        <i/>
        <vertAlign val="subscript"/>
        <sz val="11"/>
        <color theme="1"/>
        <rFont val="Aptos Narrow"/>
        <family val="2"/>
        <scheme val="minor"/>
      </rPr>
      <t xml:space="preserve">f </t>
    </r>
    <r>
      <rPr>
        <sz val="11"/>
        <color theme="1"/>
        <rFont val="Aptos Narrow"/>
        <family val="2"/>
        <scheme val="minor"/>
      </rPr>
      <t>+ (1-ϕ)*</t>
    </r>
    <r>
      <rPr>
        <i/>
        <sz val="11"/>
        <color theme="1"/>
        <rFont val="Aptos Narrow"/>
        <family val="2"/>
        <scheme val="minor"/>
      </rPr>
      <t>P</t>
    </r>
    <r>
      <rPr>
        <i/>
        <vertAlign val="subscript"/>
        <sz val="11"/>
        <color theme="1"/>
        <rFont val="Aptos Narrow"/>
        <family val="2"/>
        <scheme val="minor"/>
      </rPr>
      <t>m</t>
    </r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</si>
  <si>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sz val="11"/>
        <color theme="1"/>
        <rFont val="Aptos Narrow"/>
        <family val="2"/>
        <scheme val="minor"/>
      </rPr>
      <t>/ [2*(1+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>)]</t>
    </r>
  </si>
  <si>
    <r>
      <t>[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>/(1-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)] * [(1 + 0.85*ϕ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 / [(1-ϕ)</t>
    </r>
    <r>
      <rPr>
        <vertAlign val="superscript"/>
        <sz val="11"/>
        <color theme="1"/>
        <rFont val="Aptos Narrow"/>
        <family val="2"/>
        <scheme val="minor"/>
      </rPr>
      <t xml:space="preserve">1.25 </t>
    </r>
    <r>
      <rPr>
        <sz val="11"/>
        <color theme="1"/>
        <rFont val="Aptos Narrow"/>
        <family val="2"/>
        <scheme val="minor"/>
      </rPr>
      <t>+ ϕ*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sz val="11"/>
        <color theme="1"/>
        <rFont val="Aptos Narrow"/>
        <family val="2"/>
        <scheme val="minor"/>
      </rPr>
      <t xml:space="preserve">/ 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fT</t>
    </r>
    <r>
      <rPr>
        <sz val="11"/>
        <color theme="1"/>
        <rFont val="Aptos Narrow"/>
        <family val="2"/>
        <scheme val="minor"/>
      </rPr>
      <t>*(1-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)]]</t>
    </r>
  </si>
  <si>
    <r>
      <t>ϕ*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fL</t>
    </r>
    <r>
      <rPr>
        <sz val="11"/>
        <color theme="1"/>
        <rFont val="Aptos Narrow"/>
        <family val="2"/>
        <scheme val="minor"/>
      </rPr>
      <t>+ (1-ϕ)*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m</t>
    </r>
  </si>
  <si>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(0.125*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11</t>
    </r>
    <r>
      <rPr>
        <sz val="11"/>
        <color theme="1"/>
        <rFont val="Aptos Narrow"/>
        <family val="2"/>
        <scheme val="minor"/>
      </rPr>
      <t>) + (0.250*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>) ; Tsai-Hill</t>
    </r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</si>
  <si>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[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f</t>
    </r>
    <r>
      <rPr>
        <sz val="11"/>
        <color theme="1"/>
        <rFont val="Aptos Narrow"/>
        <family val="2"/>
        <scheme val="minor"/>
      </rPr>
      <t>* ϕ/π] + [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>* (1 - ϕ/π)] ;  Pan, UC Davis</t>
    </r>
  </si>
  <si>
    <t>Shear Modulus,
parallel to fiber</t>
  </si>
  <si>
    <t>Shear modulus of fiber, parallel to fiber (axial shear modulus)</t>
  </si>
  <si>
    <t>DuPont  Kevlar® 49 Aramid Fiber, ALT</t>
  </si>
  <si>
    <t>0.28 per DNV-RU-YACHT Pt.3 Ch.5. p.27</t>
  </si>
  <si>
    <t>Denotations, with values based on fiber and resin matrix selections</t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</si>
  <si>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 ROM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</si>
  <si>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 H-T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</si>
  <si>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 BRIN</t>
    </r>
  </si>
  <si>
    <t>Transverse Young's modulus of lamina (DNV)</t>
  </si>
  <si>
    <t>Transverse Young's modulus of lamina (from Rule of Mixtures)</t>
  </si>
  <si>
    <t>Transverse Young's modulus of lamina (Halpin-Tsai)</t>
  </si>
  <si>
    <t>Transverse Young's modulus of lamina (Brintrup)</t>
  </si>
  <si>
    <t>Source:</t>
  </si>
  <si>
    <t>Values taken as-written for materials when temperature conditions were not specified.</t>
  </si>
  <si>
    <t xml:space="preserve">Values taken for materials at +/-22C (72F) when multiple temperature conditions were available.
</t>
  </si>
  <si>
    <t>Estimated or assumed values are based on accepted values from technical literature.</t>
  </si>
  <si>
    <t>Pro Set Technical Document.  See Gougeon website</t>
  </si>
  <si>
    <t>User Input</t>
  </si>
  <si>
    <t>Conversion Factor</t>
  </si>
  <si>
    <t>Leave alone →</t>
  </si>
  <si>
    <t>Enter value →</t>
  </si>
  <si>
    <t>Legend</t>
  </si>
  <si>
    <t>Enter or select a value →</t>
  </si>
  <si>
    <t>Resin Matrix Physical and Mechanical Properties</t>
  </si>
  <si>
    <t>'from OC information' according to MatWeb</t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</si>
  <si>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vertAlign val="subscript"/>
        <sz val="11"/>
        <color theme="1"/>
        <rFont val="Aptos Narrow"/>
        <family val="2"/>
        <scheme val="minor"/>
      </rPr>
      <t xml:space="preserve">  </t>
    </r>
    <r>
      <rPr>
        <sz val="11"/>
        <color theme="1"/>
        <rFont val="Aptos Narrow"/>
        <family val="2"/>
        <scheme val="minor"/>
      </rPr>
      <t xml:space="preserve">/ (1 -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</t>
    </r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</si>
  <si>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vertAlign val="subscript"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 xml:space="preserve">/ (1 - 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>CSM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</t>
    </r>
  </si>
  <si>
    <t>Single UD ply stiffness matrix transformed to global coordinate system (DNV formulas)</t>
  </si>
  <si>
    <t>ϴ</t>
  </si>
  <si>
    <t>deg</t>
  </si>
  <si>
    <t>rad</t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</si>
  <si>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11′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</si>
  <si>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22′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</si>
  <si>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23′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32′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</si>
  <si>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13′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31′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</si>
  <si>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33′</t>
    </r>
  </si>
  <si>
    <t>n</t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</si>
  <si>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12′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21′</t>
    </r>
  </si>
  <si>
    <r>
      <t>Longitudinal Young's modulus of lamina by Rule of Mixtures: ϕ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fL</t>
    </r>
    <r>
      <rPr>
        <sz val="11"/>
        <color theme="1"/>
        <rFont val="Aptos Narrow"/>
        <family val="2"/>
        <scheme val="minor"/>
      </rPr>
      <t xml:space="preserve"> + (1-ϕ)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m</t>
    </r>
  </si>
  <si>
    <t>ℰ</t>
  </si>
  <si>
    <t>ŋ</t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</si>
  <si>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 Chamis</t>
    </r>
  </si>
  <si>
    <t>Transverse Young's modulus of lamina (Chamis)</t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</si>
  <si>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</t>
    </r>
    <r>
      <rPr>
        <b/>
        <sz val="11"/>
        <color theme="1"/>
        <rFont val="Aptos Narrow"/>
        <family val="2"/>
        <scheme val="minor"/>
      </rPr>
      <t xml:space="preserve">  (DNV)
[ 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b/>
        <sz val="11"/>
        <color theme="1"/>
        <rFont val="Aptos Narrow"/>
        <family val="2"/>
        <scheme val="minor"/>
      </rPr>
      <t>/ (1-</t>
    </r>
    <r>
      <rPr>
        <b/>
        <i/>
        <sz val="11"/>
        <color theme="1"/>
        <rFont val="Aptos Narrow"/>
        <family val="2"/>
        <scheme val="minor"/>
      </rPr>
      <t>v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 ] * 
[ (1 + 0.85ϕ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 / [(1-ϕ)</t>
    </r>
    <r>
      <rPr>
        <b/>
        <vertAlign val="superscript"/>
        <sz val="11"/>
        <color theme="1"/>
        <rFont val="Aptos Narrow"/>
        <family val="2"/>
        <scheme val="minor"/>
      </rPr>
      <t>1.25</t>
    </r>
    <r>
      <rPr>
        <b/>
        <sz val="11"/>
        <color theme="1"/>
        <rFont val="Aptos Narrow"/>
        <family val="2"/>
        <scheme val="minor"/>
      </rPr>
      <t xml:space="preserve"> + (ϕ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>/ E</t>
    </r>
    <r>
      <rPr>
        <b/>
        <vertAlign val="subscript"/>
        <sz val="11"/>
        <color theme="1"/>
        <rFont val="Aptos Narrow"/>
        <family val="2"/>
        <scheme val="minor"/>
      </rPr>
      <t>fT</t>
    </r>
    <r>
      <rPr>
        <b/>
        <sz val="11"/>
        <color theme="1"/>
        <rFont val="Aptos Narrow"/>
        <family val="2"/>
        <scheme val="minor"/>
      </rPr>
      <t>(1-</t>
    </r>
    <r>
      <rPr>
        <b/>
        <i/>
        <sz val="11"/>
        <color theme="1"/>
        <rFont val="Aptos Narrow"/>
        <family val="2"/>
        <scheme val="minor"/>
      </rPr>
      <t>v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)] ]</t>
    </r>
  </si>
  <si>
    <r>
      <t xml:space="preserve">n
</t>
    </r>
    <r>
      <rPr>
        <b/>
        <sz val="11"/>
        <color theme="1"/>
        <rFont val="Aptos Narrow"/>
        <family val="2"/>
        <scheme val="minor"/>
      </rPr>
      <t>intervals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</si>
  <si>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 xml:space="preserve">11 </t>
    </r>
    <r>
      <rPr>
        <b/>
        <sz val="11"/>
        <color theme="1"/>
        <rFont val="Aptos Narrow"/>
        <family val="2"/>
        <scheme val="minor"/>
      </rPr>
      <t xml:space="preserve"> ( Rule of Mixtures)
ϕ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 xml:space="preserve">fL </t>
    </r>
    <r>
      <rPr>
        <b/>
        <sz val="11"/>
        <color theme="1"/>
        <rFont val="Aptos Narrow"/>
        <family val="2"/>
        <scheme val="minor"/>
      </rPr>
      <t>+  (1-ϕ)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</si>
  <si>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</t>
    </r>
    <r>
      <rPr>
        <b/>
        <sz val="11"/>
        <color theme="1"/>
        <rFont val="Aptos Narrow"/>
        <family val="2"/>
        <scheme val="minor"/>
      </rPr>
      <t xml:space="preserve">  (from Rule of Mixtures)
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b/>
        <sz val="11"/>
        <color theme="1"/>
        <rFont val="Aptos Narrow"/>
        <family val="2"/>
        <scheme val="minor"/>
      </rPr>
      <t>/ (ϕ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>+  (1-ϕ)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  <r>
      <rPr>
        <b/>
        <sz val="11"/>
        <color theme="1"/>
        <rFont val="Aptos Narrow"/>
        <family val="2"/>
        <scheme val="minor"/>
      </rPr>
      <t>)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</si>
  <si>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</t>
    </r>
    <r>
      <rPr>
        <b/>
        <sz val="11"/>
        <color theme="1"/>
        <rFont val="Aptos Narrow"/>
        <family val="2"/>
        <scheme val="minor"/>
      </rPr>
      <t xml:space="preserve">  (Halpin-Tsai)
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>(1 + ℰ</t>
    </r>
    <r>
      <rPr>
        <b/>
        <i/>
        <sz val="11"/>
        <color theme="1"/>
        <rFont val="Aptos Narrow"/>
        <family val="2"/>
        <scheme val="minor"/>
      </rPr>
      <t>ŋ</t>
    </r>
    <r>
      <rPr>
        <b/>
        <sz val="11"/>
        <color theme="1"/>
        <rFont val="Aptos Narrow"/>
        <family val="2"/>
        <scheme val="minor"/>
      </rPr>
      <t xml:space="preserve">ϕ) / (1 - </t>
    </r>
    <r>
      <rPr>
        <b/>
        <i/>
        <sz val="11"/>
        <color theme="1"/>
        <rFont val="Aptos Narrow"/>
        <family val="2"/>
        <scheme val="minor"/>
      </rPr>
      <t>ŋ</t>
    </r>
    <r>
      <rPr>
        <b/>
        <sz val="11"/>
        <color theme="1"/>
        <rFont val="Aptos Narrow"/>
        <family val="2"/>
        <scheme val="minor"/>
      </rPr>
      <t xml:space="preserve">ϕ)
</t>
    </r>
    <r>
      <rPr>
        <b/>
        <i/>
        <sz val="11"/>
        <color theme="1"/>
        <rFont val="Aptos Narrow"/>
        <family val="2"/>
        <scheme val="minor"/>
      </rPr>
      <t>ŋ</t>
    </r>
    <r>
      <rPr>
        <b/>
        <sz val="11"/>
        <color theme="1"/>
        <rFont val="Aptos Narrow"/>
        <family val="2"/>
        <scheme val="minor"/>
      </rPr>
      <t xml:space="preserve"> = (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  <r>
      <rPr>
        <b/>
        <sz val="11"/>
        <color theme="1"/>
        <rFont val="Aptos Narrow"/>
        <family val="2"/>
        <scheme val="minor"/>
      </rPr>
      <t>/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 xml:space="preserve"> - 1) / (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  <r>
      <rPr>
        <b/>
        <sz val="11"/>
        <color theme="1"/>
        <rFont val="Aptos Narrow"/>
        <family val="2"/>
        <scheme val="minor"/>
      </rPr>
      <t>/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>+ ℰ)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</si>
  <si>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</t>
    </r>
    <r>
      <rPr>
        <b/>
        <sz val="11"/>
        <color theme="1"/>
        <rFont val="Aptos Narrow"/>
        <family val="2"/>
        <scheme val="minor"/>
      </rPr>
      <t xml:space="preserve">  (Brintrup)
</t>
    </r>
    <r>
      <rPr>
        <b/>
        <i/>
        <sz val="11"/>
        <color theme="1"/>
        <rFont val="Aptos Narrow"/>
        <family val="2"/>
        <scheme val="minor"/>
      </rPr>
      <t>É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 xml:space="preserve">fL </t>
    </r>
    <r>
      <rPr>
        <b/>
        <sz val="11"/>
        <color theme="1"/>
        <rFont val="Aptos Narrow"/>
        <family val="2"/>
        <scheme val="minor"/>
      </rPr>
      <t>/ (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fL</t>
    </r>
    <r>
      <rPr>
        <b/>
        <sz val="11"/>
        <color theme="1"/>
        <rFont val="Aptos Narrow"/>
        <family val="2"/>
        <scheme val="minor"/>
      </rPr>
      <t>(1-ϕ)  +  ϕ</t>
    </r>
    <r>
      <rPr>
        <b/>
        <i/>
        <sz val="11"/>
        <color theme="1"/>
        <rFont val="Aptos Narrow"/>
        <family val="2"/>
        <scheme val="minor"/>
      </rPr>
      <t>É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 xml:space="preserve">)
</t>
    </r>
    <r>
      <rPr>
        <b/>
        <i/>
        <sz val="11"/>
        <color theme="1"/>
        <rFont val="Aptos Narrow"/>
        <family val="2"/>
        <scheme val="minor"/>
      </rPr>
      <t>É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 xml:space="preserve"> = 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 xml:space="preserve">/ (1 - </t>
    </r>
    <r>
      <rPr>
        <b/>
        <i/>
        <sz val="11"/>
        <color theme="1"/>
        <rFont val="Aptos Narrow"/>
        <family val="2"/>
        <scheme val="minor"/>
      </rPr>
      <t>v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</si>
  <si>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</t>
    </r>
    <r>
      <rPr>
        <b/>
        <sz val="11"/>
        <color theme="1"/>
        <rFont val="Aptos Narrow"/>
        <family val="2"/>
        <scheme val="minor"/>
      </rPr>
      <t xml:space="preserve">  (Chamis)
</t>
    </r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 xml:space="preserve">m  </t>
    </r>
    <r>
      <rPr>
        <b/>
        <sz val="11"/>
        <color theme="1"/>
        <rFont val="Aptos Narrow"/>
        <family val="2"/>
        <scheme val="minor"/>
      </rPr>
      <t>/ [1 - ϕ</t>
    </r>
    <r>
      <rPr>
        <b/>
        <vertAlign val="superscript"/>
        <sz val="11"/>
        <color theme="1"/>
        <rFont val="Aptos Narrow"/>
        <family val="2"/>
        <scheme val="minor"/>
      </rPr>
      <t>0.5</t>
    </r>
    <r>
      <rPr>
        <b/>
        <sz val="11"/>
        <color theme="1"/>
        <rFont val="Aptos Narrow"/>
        <family val="2"/>
        <scheme val="minor"/>
      </rPr>
      <t xml:space="preserve">(1 - </t>
    </r>
    <r>
      <rPr>
        <b/>
        <i/>
        <sz val="11"/>
        <color theme="1"/>
        <rFont val="Aptos Narrow"/>
        <family val="2"/>
        <scheme val="minor"/>
      </rPr>
      <t>G</t>
    </r>
    <r>
      <rPr>
        <b/>
        <i/>
        <vertAlign val="subscript"/>
        <sz val="11"/>
        <color theme="1"/>
        <rFont val="Aptos Narrow"/>
        <family val="2"/>
        <scheme val="minor"/>
      </rPr>
      <t>m</t>
    </r>
    <r>
      <rPr>
        <b/>
        <sz val="11"/>
        <color theme="1"/>
        <rFont val="Aptos Narrow"/>
        <family val="2"/>
        <scheme val="minor"/>
      </rPr>
      <t>/</t>
    </r>
    <r>
      <rPr>
        <b/>
        <i/>
        <sz val="11"/>
        <color theme="1"/>
        <rFont val="Aptos Narrow"/>
        <family val="2"/>
        <scheme val="minor"/>
      </rPr>
      <t>G</t>
    </r>
    <r>
      <rPr>
        <b/>
        <i/>
        <vertAlign val="subscript"/>
        <sz val="11"/>
        <color theme="1"/>
        <rFont val="Aptos Narrow"/>
        <family val="2"/>
        <scheme val="minor"/>
      </rPr>
      <t>f</t>
    </r>
    <r>
      <rPr>
        <b/>
        <vertAlign val="subscript"/>
        <sz val="11"/>
        <color theme="1"/>
        <rFont val="Aptos Narrow"/>
        <family val="2"/>
        <scheme val="minor"/>
      </rPr>
      <t>12</t>
    </r>
    <r>
      <rPr>
        <b/>
        <sz val="11"/>
        <color theme="1"/>
        <rFont val="Aptos Narrow"/>
        <family val="2"/>
        <scheme val="minor"/>
      </rPr>
      <t>)]</t>
    </r>
  </si>
  <si>
    <r>
      <rPr>
        <b/>
        <i/>
        <sz val="11"/>
        <color theme="1"/>
        <rFont val="Aptos Narrow"/>
        <family val="2"/>
        <scheme val="minor"/>
      </rPr>
      <t>E</t>
    </r>
    <r>
      <rPr>
        <b/>
        <vertAlign val="subscript"/>
        <sz val="11"/>
        <color theme="1"/>
        <rFont val="Aptos Narrow"/>
        <family val="2"/>
        <scheme val="minor"/>
      </rPr>
      <t>22 DNV</t>
    </r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</si>
  <si>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(0.375*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11</t>
    </r>
    <r>
      <rPr>
        <sz val="11"/>
        <color theme="1"/>
        <rFont val="Aptos Narrow"/>
        <family val="2"/>
        <scheme val="minor"/>
      </rPr>
      <t>) + ( 0.625*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 xml:space="preserve">) ;  Tsai-Hill uses same formula as DNV, but calculates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 xml:space="preserve"> differently</t>
    </r>
  </si>
  <si>
    <t>Ignore the last value if '#NUM!' error appears</t>
  </si>
  <si>
    <t>Aramid Fibers:</t>
  </si>
  <si>
    <t>Glass Fibers:</t>
  </si>
  <si>
    <t>Carbon Fibers:</t>
  </si>
  <si>
    <t>West System 105 Epoxy Resin/ 205 Fast Hardener</t>
  </si>
  <si>
    <t>Used for general coating and bonding applications</t>
  </si>
  <si>
    <t>MatWeb. Also see Gougeon website</t>
  </si>
  <si>
    <r>
      <t>lb/in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/>
    </r>
  </si>
  <si>
    <t>Viscosity, cP  
ASTM D2196 or ASTM D2393</t>
  </si>
  <si>
    <t>9-12</t>
  </si>
  <si>
    <t>60-70</t>
  </si>
  <si>
    <t>360-480</t>
  </si>
  <si>
    <t>West System 105 Epoxy Resin/ 206 Slow Hardener</t>
  </si>
  <si>
    <t>600-900</t>
  </si>
  <si>
    <t>20-25</t>
  </si>
  <si>
    <t>90-110</t>
  </si>
  <si>
    <t>Used where clear finish over natural wood is desired</t>
  </si>
  <si>
    <t>West System 105 Epoxy Resin/ 207 Special Clear Hardener</t>
  </si>
  <si>
    <t>22-26</t>
  </si>
  <si>
    <t>110-120</t>
  </si>
  <si>
    <t>West System 105 Epoxy Resin/ 209 Extra Slow Hardener</t>
  </si>
  <si>
    <t>1200-1440</t>
  </si>
  <si>
    <t>180-240</t>
  </si>
  <si>
    <t>40-50</t>
  </si>
  <si>
    <t>Datasheet from MAS website</t>
  </si>
  <si>
    <t>MAS Epoxies LV Resin w Fast Hardener</t>
  </si>
  <si>
    <t>MAS Epoxies LV Resin w Medium Hardener</t>
  </si>
  <si>
    <t>MAS Epoxies LV Resin w Slow Hardener</t>
  </si>
  <si>
    <t>Non-blushing, low viscosity system for general use</t>
  </si>
  <si>
    <t>10</t>
  </si>
  <si>
    <t>25</t>
  </si>
  <si>
    <t>40</t>
  </si>
  <si>
    <t>120 tack-free</t>
  </si>
  <si>
    <t>180 tack-free</t>
  </si>
  <si>
    <t>300 tack-free</t>
  </si>
  <si>
    <t>NA</t>
  </si>
  <si>
    <t>Cure Time to tack-free, minutes</t>
  </si>
  <si>
    <t>Epoxy Resin Systems:</t>
  </si>
  <si>
    <t>Polyester and Vinylester Resins:</t>
  </si>
  <si>
    <t>Polymers &amp; Polymer Composites, Vol 20 (2012), No 5, p.41. 'DuPont USA'</t>
  </si>
  <si>
    <t>Low viscosity for composite fabrics (Fast hardener)</t>
  </si>
  <si>
    <t xml:space="preserve">Low viscosity for composite fabrics (Medium hardener) </t>
  </si>
  <si>
    <t>Low viscosity for composite fabrics (Slow hardener)</t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</si>
  <si>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12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</si>
  <si>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21</t>
    </r>
  </si>
  <si>
    <r>
      <rPr>
        <i/>
        <sz val="11"/>
        <color theme="1"/>
        <rFont val="Aptos Narrow"/>
        <family val="2"/>
        <scheme val="minor"/>
      </rPr>
      <t>= G</t>
    </r>
    <r>
      <rPr>
        <vertAlign val="subscript"/>
        <sz val="11"/>
        <color theme="1"/>
        <rFont val="Aptos Narrow"/>
        <family val="2"/>
        <scheme val="minor"/>
      </rPr>
      <t>12</t>
    </r>
  </si>
  <si>
    <r>
      <t>= G</t>
    </r>
    <r>
      <rPr>
        <i/>
        <vertAlign val="subscript"/>
        <sz val="11"/>
        <color theme="1"/>
        <rFont val="Aptos Narrow"/>
        <family val="2"/>
        <scheme val="minor"/>
      </rPr>
      <t>CSM</t>
    </r>
  </si>
  <si>
    <r>
      <t>Alternate formulas for E</t>
    </r>
    <r>
      <rPr>
        <b/>
        <i/>
        <vertAlign val="subscript"/>
        <sz val="11"/>
        <color theme="1"/>
        <rFont val="Aptos Narrow"/>
        <family val="2"/>
        <scheme val="minor"/>
      </rPr>
      <t>22</t>
    </r>
    <r>
      <rPr>
        <b/>
        <i/>
        <sz val="11"/>
        <color theme="1"/>
        <rFont val="Aptos Narrow"/>
        <family val="2"/>
        <scheme val="minor"/>
      </rPr>
      <t>:</t>
    </r>
  </si>
  <si>
    <r>
      <t xml:space="preserve">=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12</t>
    </r>
  </si>
  <si>
    <r>
      <t xml:space="preserve">=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</t>
    </r>
    <r>
      <rPr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</si>
  <si>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11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</si>
  <si>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12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</si>
  <si>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22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</si>
  <si>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33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</si>
  <si>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21</t>
    </r>
    <r>
      <rPr>
        <b/>
        <i/>
        <vertAlign val="subscript"/>
        <sz val="11"/>
        <color theme="1"/>
        <rFont val="Aptos Narrow"/>
        <family val="2"/>
        <scheme val="minor"/>
      </rPr>
      <t>CSM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</si>
  <si>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33'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</si>
  <si>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11′ </t>
    </r>
  </si>
  <si>
    <r>
      <t>ϴ</t>
    </r>
    <r>
      <rPr>
        <b/>
        <i/>
        <vertAlign val="subscript"/>
        <sz val="11"/>
        <color theme="1"/>
        <rFont val="Aptos Narrow"/>
        <family val="2"/>
        <scheme val="minor"/>
      </rPr>
      <t>deg</t>
    </r>
  </si>
  <si>
    <r>
      <t>ϴ</t>
    </r>
    <r>
      <rPr>
        <b/>
        <i/>
        <vertAlign val="subscript"/>
        <sz val="11"/>
        <color theme="1"/>
        <rFont val="Aptos Narrow"/>
        <family val="2"/>
        <scheme val="minor"/>
      </rPr>
      <t>rad</t>
    </r>
  </si>
  <si>
    <r>
      <t xml:space="preserve">Fiber and Resin Matrix selected in worksheet </t>
    </r>
    <r>
      <rPr>
        <b/>
        <i/>
        <u/>
        <sz val="12"/>
        <color theme="1"/>
        <rFont val="Aptos Narrow"/>
        <family val="2"/>
        <scheme val="minor"/>
      </rPr>
      <t>Single Ply DNV</t>
    </r>
  </si>
  <si>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11 * sin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 + 2 * 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+ 2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sin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ϴ * cos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ϴ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22 * cos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</t>
    </r>
  </si>
  <si>
    <r>
      <t>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22 -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12 - 2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cos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ϴ * sinϴ - 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11 -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12 - 2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cosϴ * sin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ϴ</t>
    </r>
  </si>
  <si>
    <r>
      <t>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22 -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12 - 2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cosϴ * sin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ϴ - 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11 -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12 - 2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cos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>ϴ * sinϴ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</si>
  <si>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23'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32'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</si>
  <si>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13'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31'</t>
    </r>
  </si>
  <si>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 xml:space="preserve">12' = </t>
    </r>
    <r>
      <rPr>
        <b/>
        <i/>
        <sz val="11"/>
        <color theme="1"/>
        <rFont val="Aptos Narrow"/>
        <family val="2"/>
        <scheme val="minor"/>
      </rPr>
      <t>Q</t>
    </r>
    <r>
      <rPr>
        <b/>
        <sz val="11"/>
        <color theme="1"/>
        <rFont val="Aptos Narrow"/>
        <family val="2"/>
        <scheme val="minor"/>
      </rPr>
      <t>21'</t>
    </r>
  </si>
  <si>
    <t>Bad Value - Check User Inputs</t>
  </si>
  <si>
    <t>DNV Fixed Value</t>
  </si>
  <si>
    <t>CK Calc or Estimate</t>
  </si>
  <si>
    <r>
      <t xml:space="preserve">Elastic properties of a single chopped strand mat lamina (DNV formula with alternate </t>
    </r>
    <r>
      <rPr>
        <b/>
        <i/>
        <sz val="12"/>
        <color theme="1"/>
        <rFont val="Aptos Narrow"/>
        <family val="2"/>
        <scheme val="minor"/>
      </rPr>
      <t>v</t>
    </r>
    <r>
      <rPr>
        <b/>
        <i/>
        <vertAlign val="subscript"/>
        <sz val="12"/>
        <color theme="1"/>
        <rFont val="Aptos Narrow"/>
        <family val="2"/>
        <scheme val="minor"/>
      </rPr>
      <t>CSM</t>
    </r>
    <r>
      <rPr>
        <b/>
        <sz val="12"/>
        <color theme="1"/>
        <rFont val="Aptos Narrow"/>
        <family val="2"/>
        <scheme val="minor"/>
      </rPr>
      <t xml:space="preserve"> estimate)</t>
    </r>
  </si>
  <si>
    <t>Elastic properties of a single chopped strand mat lamina (Tsai-Hill alternate)</t>
  </si>
  <si>
    <t>Elastic properties of a single chopped strand mat lamina (Pan, UC Davis alternate)</t>
  </si>
  <si>
    <r>
      <t>v</t>
    </r>
    <r>
      <rPr>
        <b/>
        <i/>
        <vertAlign val="subscript"/>
        <sz val="11"/>
        <color theme="1"/>
        <rFont val="Aptos Narrow"/>
        <family val="2"/>
        <scheme val="minor"/>
      </rPr>
      <t>CSM alt</t>
    </r>
  </si>
  <si>
    <r>
      <t xml:space="preserve">ϕ * </t>
    </r>
    <r>
      <rPr>
        <i/>
        <sz val="11"/>
        <color theme="1"/>
        <rFont val="Aptos Narrow"/>
        <family val="2"/>
        <scheme val="minor"/>
      </rPr>
      <t>vf</t>
    </r>
    <r>
      <rPr>
        <vertAlign val="subscript"/>
        <sz val="11"/>
        <color theme="1"/>
        <rFont val="Aptos Narrow"/>
        <family val="2"/>
        <scheme val="minor"/>
      </rPr>
      <t xml:space="preserve">12  </t>
    </r>
    <r>
      <rPr>
        <sz val="11"/>
        <color theme="1"/>
        <rFont val="Aptos Narrow"/>
        <family val="2"/>
        <scheme val="minor"/>
      </rPr>
      <t xml:space="preserve">+ (1 - ϕ) *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m</t>
    </r>
  </si>
  <si>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>* (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 xml:space="preserve">22 </t>
    </r>
    <r>
      <rPr>
        <sz val="11"/>
        <color theme="1"/>
        <rFont val="Aptos Narrow"/>
        <family val="2"/>
        <scheme val="minor"/>
      </rPr>
      <t xml:space="preserve">/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11</t>
    </r>
    <r>
      <rPr>
        <sz val="11"/>
        <color theme="1"/>
        <rFont val="Aptos Narrow"/>
        <family val="2"/>
        <scheme val="minor"/>
      </rPr>
      <t>)</t>
    </r>
  </si>
  <si>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>* (1 + 0.8 * ϕ</t>
    </r>
    <r>
      <rPr>
        <vertAlign val="superscript"/>
        <sz val="11"/>
        <color theme="1"/>
        <rFont val="Aptos Narrow"/>
        <family val="2"/>
        <scheme val="minor"/>
      </rPr>
      <t>0.8</t>
    </r>
    <r>
      <rPr>
        <sz val="11"/>
        <color theme="1"/>
        <rFont val="Aptos Narrow"/>
        <family val="2"/>
        <scheme val="minor"/>
      </rPr>
      <t>) / [(1 - ϕ)</t>
    </r>
    <r>
      <rPr>
        <vertAlign val="superscript"/>
        <sz val="11"/>
        <color theme="1"/>
        <rFont val="Aptos Narrow"/>
        <family val="2"/>
        <scheme val="minor"/>
      </rPr>
      <t>1.25</t>
    </r>
    <r>
      <rPr>
        <sz val="11"/>
        <color theme="1"/>
        <rFont val="Aptos Narrow"/>
        <family val="2"/>
        <scheme val="minor"/>
      </rPr>
      <t xml:space="preserve">  + (</t>
    </r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sz val="11"/>
        <color theme="1"/>
        <rFont val="Aptos Narrow"/>
        <family val="2"/>
        <scheme val="minor"/>
      </rPr>
      <t xml:space="preserve">/ </t>
    </r>
    <r>
      <rPr>
        <i/>
        <sz val="11"/>
        <color theme="1"/>
        <rFont val="Aptos Narrow"/>
        <family val="2"/>
        <scheme val="minor"/>
      </rPr>
      <t>Gf</t>
    </r>
    <r>
      <rPr>
        <vertAlign val="subscript"/>
        <sz val="11"/>
        <color theme="1"/>
        <rFont val="Aptos Narrow"/>
        <family val="2"/>
        <scheme val="minor"/>
      </rPr>
      <t>12</t>
    </r>
    <r>
      <rPr>
        <sz val="11"/>
        <color theme="1"/>
        <rFont val="Aptos Narrow"/>
        <family val="2"/>
        <scheme val="minor"/>
      </rPr>
      <t>)</t>
    </r>
    <r>
      <rPr>
        <vertAlign val="subscript"/>
        <sz val="11"/>
        <color theme="1"/>
        <rFont val="Aptos Narrow"/>
        <family val="2"/>
        <scheme val="minor"/>
      </rPr>
      <t xml:space="preserve">  </t>
    </r>
    <r>
      <rPr>
        <sz val="11"/>
        <color theme="1"/>
        <rFont val="Aptos Narrow"/>
        <family val="2"/>
        <scheme val="minor"/>
      </rPr>
      <t>*  ϕ]</t>
    </r>
  </si>
  <si>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(0.375 *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11</t>
    </r>
    <r>
      <rPr>
        <sz val="11"/>
        <color theme="1"/>
        <rFont val="Aptos Narrow"/>
        <family val="2"/>
        <scheme val="minor"/>
      </rPr>
      <t xml:space="preserve">) </t>
    </r>
    <r>
      <rPr>
        <vertAlign val="subscript"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 xml:space="preserve">+ ( 0.625 *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 xml:space="preserve">) ;  DNV uses same formula as Tsai-Hill, but calculates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 xml:space="preserve"> differently</t>
    </r>
  </si>
  <si>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sz val="11"/>
        <color theme="1"/>
        <rFont val="Aptos Narrow"/>
        <family val="2"/>
        <scheme val="minor"/>
      </rPr>
      <t xml:space="preserve">/ (2 * (1 +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)) ; DNV doesn't have formula for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- see below</t>
    </r>
  </si>
  <si>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 alt</t>
    </r>
    <r>
      <rPr>
        <sz val="11"/>
        <color theme="1"/>
        <rFont val="Aptos Narrow"/>
        <family val="2"/>
        <scheme val="minor"/>
      </rPr>
      <t xml:space="preserve"> =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f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>* 0.5 * ϕ +</t>
    </r>
    <r>
      <rPr>
        <i/>
        <sz val="11"/>
        <color theme="1"/>
        <rFont val="Aptos Narrow"/>
        <family val="2"/>
        <scheme val="minor"/>
      </rPr>
      <t xml:space="preserve"> v</t>
    </r>
    <r>
      <rPr>
        <i/>
        <vertAlign val="subscript"/>
        <sz val="11"/>
        <color theme="1"/>
        <rFont val="Aptos Narrow"/>
        <family val="2"/>
        <scheme val="minor"/>
      </rPr>
      <t>m</t>
    </r>
    <r>
      <rPr>
        <sz val="11"/>
        <color theme="1"/>
        <rFont val="Aptos Narrow"/>
        <family val="2"/>
        <scheme val="minor"/>
      </rPr>
      <t xml:space="preserve"> * (1 - 0.5 * ϕ) ; Assumes 50% fiber @ 11 and 50% fiber @ 22</t>
    </r>
  </si>
  <si>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</t>
    </r>
    <r>
      <rPr>
        <i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[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/ ( 2 * </t>
    </r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>)]</t>
    </r>
    <r>
      <rPr>
        <i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- 1 ; Tsai-Hill</t>
    </r>
  </si>
  <si>
    <r>
      <rPr>
        <i/>
        <sz val="11"/>
        <color theme="1"/>
        <rFont val="Aptos Narrow"/>
        <family val="2"/>
        <scheme val="minor"/>
      </rPr>
      <t>G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/ [2 * (1 +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>)] ; Pan, UC Davis</t>
    </r>
  </si>
  <si>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 = [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f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>*  ϕ/π] + [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 xml:space="preserve">m </t>
    </r>
    <r>
      <rPr>
        <sz val="11"/>
        <color theme="1"/>
        <rFont val="Aptos Narrow"/>
        <family val="2"/>
        <scheme val="minor"/>
      </rPr>
      <t>* (1  -  ϕ/π)] ; Pan, UC Davis</t>
    </r>
  </si>
  <si>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 xml:space="preserve">11 </t>
    </r>
    <r>
      <rPr>
        <sz val="11"/>
        <color theme="1"/>
        <rFont val="Aptos Narrow"/>
        <family val="2"/>
        <scheme val="minor"/>
      </rPr>
      <t>/ [1 - (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 xml:space="preserve">* 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>21</t>
    </r>
    <r>
      <rPr>
        <sz val="11"/>
        <color theme="1"/>
        <rFont val="Aptos Narrow"/>
        <family val="2"/>
        <scheme val="minor"/>
      </rPr>
      <t>)]</t>
    </r>
  </si>
  <si>
    <r>
      <rPr>
        <i/>
        <sz val="11"/>
        <color theme="1"/>
        <rFont val="Aptos Narrow"/>
        <family val="2"/>
        <scheme val="minor"/>
      </rPr>
      <t>(v</t>
    </r>
    <r>
      <rPr>
        <vertAlign val="subscript"/>
        <sz val="11"/>
        <color theme="1"/>
        <rFont val="Aptos Narrow"/>
        <family val="2"/>
        <scheme val="minor"/>
      </rPr>
      <t xml:space="preserve">21 </t>
    </r>
    <r>
      <rPr>
        <sz val="11"/>
        <color theme="1"/>
        <rFont val="Aptos Narrow"/>
        <family val="2"/>
        <scheme val="minor"/>
      </rPr>
      <t xml:space="preserve">* </t>
    </r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>11</t>
    </r>
    <r>
      <rPr>
        <sz val="11"/>
        <color theme="1"/>
        <rFont val="Aptos Narrow"/>
        <family val="2"/>
        <scheme val="minor"/>
      </rPr>
      <t>) / [1 - (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 xml:space="preserve">* 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>21</t>
    </r>
    <r>
      <rPr>
        <sz val="11"/>
        <color theme="1"/>
        <rFont val="Aptos Narrow"/>
        <family val="2"/>
        <scheme val="minor"/>
      </rPr>
      <t>)]</t>
    </r>
  </si>
  <si>
    <r>
      <rPr>
        <i/>
        <sz val="11"/>
        <color theme="1"/>
        <rFont val="Aptos Narrow"/>
        <family val="2"/>
        <scheme val="minor"/>
      </rPr>
      <t>E</t>
    </r>
    <r>
      <rPr>
        <vertAlign val="subscript"/>
        <sz val="11"/>
        <color theme="1"/>
        <rFont val="Aptos Narrow"/>
        <family val="2"/>
        <scheme val="minor"/>
      </rPr>
      <t xml:space="preserve">22  </t>
    </r>
    <r>
      <rPr>
        <sz val="11"/>
        <color theme="1"/>
        <rFont val="Aptos Narrow"/>
        <family val="2"/>
        <scheme val="minor"/>
      </rPr>
      <t>/ [(1 - (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 xml:space="preserve">12 </t>
    </r>
    <r>
      <rPr>
        <sz val="11"/>
        <color theme="1"/>
        <rFont val="Aptos Narrow"/>
        <family val="2"/>
        <scheme val="minor"/>
      </rPr>
      <t xml:space="preserve">* </t>
    </r>
    <r>
      <rPr>
        <i/>
        <sz val="11"/>
        <color theme="1"/>
        <rFont val="Aptos Narrow"/>
        <family val="2"/>
        <scheme val="minor"/>
      </rPr>
      <t>v</t>
    </r>
    <r>
      <rPr>
        <vertAlign val="subscript"/>
        <sz val="11"/>
        <color theme="1"/>
        <rFont val="Aptos Narrow"/>
        <family val="2"/>
        <scheme val="minor"/>
      </rPr>
      <t>21</t>
    </r>
    <r>
      <rPr>
        <sz val="11"/>
        <color theme="1"/>
        <rFont val="Aptos Narrow"/>
        <family val="2"/>
        <scheme val="minor"/>
      </rPr>
      <t>)]</t>
    </r>
  </si>
  <si>
    <r>
      <rPr>
        <i/>
        <sz val="11"/>
        <color theme="1"/>
        <rFont val="Aptos Narrow"/>
        <family val="2"/>
        <scheme val="minor"/>
      </rPr>
      <t>(v</t>
    </r>
    <r>
      <rPr>
        <i/>
        <vertAlign val="subscript"/>
        <sz val="11"/>
        <color theme="1"/>
        <rFont val="Aptos Narrow"/>
        <family val="2"/>
        <scheme val="minor"/>
      </rPr>
      <t xml:space="preserve">CSM </t>
    </r>
    <r>
      <rPr>
        <sz val="11"/>
        <color theme="1"/>
        <rFont val="Aptos Narrow"/>
        <family val="2"/>
        <scheme val="minor"/>
      </rPr>
      <t xml:space="preserve">* </t>
    </r>
    <r>
      <rPr>
        <i/>
        <sz val="11"/>
        <color theme="1"/>
        <rFont val="Aptos Narrow"/>
        <family val="2"/>
        <scheme val="minor"/>
      </rPr>
      <t>E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sz val="11"/>
        <color theme="1"/>
        <rFont val="Aptos Narrow"/>
        <family val="2"/>
        <scheme val="minor"/>
      </rPr>
      <t xml:space="preserve">) / (1 - </t>
    </r>
    <r>
      <rPr>
        <i/>
        <sz val="11"/>
        <color theme="1"/>
        <rFont val="Aptos Narrow"/>
        <family val="2"/>
        <scheme val="minor"/>
      </rPr>
      <t>v</t>
    </r>
    <r>
      <rPr>
        <i/>
        <vertAlign val="subscript"/>
        <sz val="11"/>
        <color theme="1"/>
        <rFont val="Aptos Narrow"/>
        <family val="2"/>
        <scheme val="minor"/>
      </rPr>
      <t>CSM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)</t>
    </r>
  </si>
  <si>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11 * cos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 + 2 * 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12 + 2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sin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ϴ * cos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ϴ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22 * sin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</t>
    </r>
  </si>
  <si>
    <r>
      <t>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11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22 -  4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sin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ϴ * cos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ϴ 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12 * (sin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 + cos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ϴ)</t>
    </r>
  </si>
  <si>
    <r>
      <t>(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11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 xml:space="preserve">22 - 2 * Q12 - 2 *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33) * sin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ϴ * cos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ϴ + </t>
    </r>
    <r>
      <rPr>
        <i/>
        <sz val="11"/>
        <color theme="1"/>
        <rFont val="Aptos Narrow"/>
        <family val="2"/>
        <scheme val="minor"/>
      </rPr>
      <t>Q</t>
    </r>
    <r>
      <rPr>
        <sz val="11"/>
        <color theme="1"/>
        <rFont val="Aptos Narrow"/>
        <family val="2"/>
        <scheme val="minor"/>
      </rPr>
      <t>33 * (sin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 + cos</t>
    </r>
    <r>
      <rPr>
        <vertAlign val="super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>ϴ)</t>
    </r>
  </si>
  <si>
    <r>
      <t xml:space="preserve">Single Ply Lamina Design Based on  2022 DNV-RU-Yacht; Part 3, Chapt. 5 - </t>
    </r>
    <r>
      <rPr>
        <b/>
        <u/>
        <sz val="14"/>
        <color theme="1"/>
        <rFont val="Aptos Narrow"/>
        <family val="2"/>
        <scheme val="minor"/>
      </rPr>
      <t>Composite Scantlings</t>
    </r>
    <r>
      <rPr>
        <b/>
        <sz val="14"/>
        <color theme="1"/>
        <rFont val="Aptos Narrow"/>
        <family val="2"/>
        <scheme val="minor"/>
      </rPr>
      <t xml:space="preserve"> (with Alternate Formulas for Comparison)</t>
    </r>
  </si>
  <si>
    <t>Bad User Input</t>
  </si>
  <si>
    <t>Revise value →</t>
  </si>
  <si>
    <r>
      <t>Value is outside typical range for ℰ as used in the Halpin-Tsai equation (values ≈</t>
    </r>
    <r>
      <rPr>
        <sz val="11"/>
        <color theme="1"/>
        <rFont val="Calibri"/>
        <family val="2"/>
      </rPr>
      <t xml:space="preserve">≤ </t>
    </r>
    <r>
      <rPr>
        <sz val="11"/>
        <color theme="1"/>
        <rFont val="Aptos Narrow"/>
        <family val="2"/>
      </rPr>
      <t xml:space="preserve">2  are typical for </t>
    </r>
    <r>
      <rPr>
        <i/>
        <sz val="11"/>
        <color theme="1"/>
        <rFont val="Aptos Narrow"/>
        <family val="2"/>
      </rPr>
      <t>E</t>
    </r>
    <r>
      <rPr>
        <vertAlign val="subscript"/>
        <sz val="11"/>
        <color theme="1"/>
        <rFont val="Aptos Narrow"/>
        <family val="2"/>
      </rPr>
      <t>22</t>
    </r>
    <r>
      <rPr>
        <sz val="11"/>
        <color theme="1"/>
        <rFont val="Aptos Narrow"/>
        <family val="2"/>
      </rPr>
      <t>;  values ≈</t>
    </r>
    <r>
      <rPr>
        <sz val="11"/>
        <color theme="1"/>
        <rFont val="Calibri"/>
        <family val="2"/>
      </rPr>
      <t xml:space="preserve">≥ 1 are typical for </t>
    </r>
    <r>
      <rPr>
        <i/>
        <sz val="11"/>
        <color theme="1"/>
        <rFont val="Calibri"/>
        <family val="2"/>
      </rPr>
      <t>G</t>
    </r>
    <r>
      <rPr>
        <vertAlign val="subscript"/>
        <sz val="11"/>
        <color theme="1"/>
        <rFont val="Calibri"/>
        <family val="2"/>
      </rPr>
      <t>12</t>
    </r>
    <r>
      <rPr>
        <sz val="11"/>
        <color theme="1"/>
        <rFont val="Calibri"/>
        <family val="2"/>
      </rPr>
      <t>)</t>
    </r>
  </si>
  <si>
    <t>This spreadsheet is a work-in-progress and under continual revision.  No claim is made to fitness for any particular purpose.  Alter as you see fit and use at your own risk.</t>
  </si>
  <si>
    <t>Density
(cured resin + hardener)</t>
  </si>
  <si>
    <t>Format appears in a 'Calculated Value' if an out-of-range or empty input is made.  Revise 'User Input' to correct this.</t>
  </si>
  <si>
    <t>Angle of rotation off of primary axis '11'.  Allowable range is  0-90 degrees</t>
  </si>
  <si>
    <t>Transverse Young's modulus of lamina (per methods shown)</t>
  </si>
  <si>
    <t>Transverse Young's Modulus for Single Ply Uni-D Lamina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</si>
</sst>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0.0%"/>
    <numFmt numFmtId="167" formatCode="mm/dd/yy;@"/>
    <numFmt numFmtId="168" formatCode="0.0000"/>
  </numFmts>
  <fonts count="3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vertAlign val="subscript"/>
      <sz val="11"/>
      <color theme="1"/>
      <name val="Aptos Narrow"/>
      <family val="2"/>
      <scheme val="minor"/>
    </font>
    <font>
      <b/>
      <i/>
      <vertAlign val="subscript"/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vertAlign val="subscript"/>
      <sz val="11"/>
      <color theme="1"/>
      <name val="Aptos Narrow"/>
      <family val="2"/>
      <scheme val="minor"/>
    </font>
    <font>
      <b/>
      <sz val="11"/>
      <color rgb="FF9C57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vertAlign val="subscript"/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8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i/>
      <vertAlign val="subscript"/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vertAlign val="superscript"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</font>
    <font>
      <b/>
      <i/>
      <u/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</font>
    <font>
      <i/>
      <sz val="11"/>
      <color theme="1"/>
      <name val="Aptos Narrow"/>
      <family val="2"/>
    </font>
    <font>
      <vertAlign val="subscript"/>
      <sz val="11"/>
      <color theme="1"/>
      <name val="Aptos Narrow"/>
      <family val="2"/>
    </font>
    <font>
      <i/>
      <sz val="11"/>
      <color theme="1"/>
      <name val="Calibri"/>
      <family val="2"/>
    </font>
    <font>
      <vertAlign val="subscript"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3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7F7F7F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/>
      <top style="thin">
        <color indexed="64"/>
      </top>
      <bottom style="thin">
        <color rgb="FFB2B2B2"/>
      </bottom>
      <diagonal/>
    </border>
    <border>
      <left/>
      <right/>
      <top style="thin">
        <color indexed="64"/>
      </top>
      <bottom style="thin">
        <color rgb="FFB2B2B2"/>
      </bottom>
      <diagonal/>
    </border>
    <border>
      <left/>
      <right style="thin">
        <color rgb="FFB2B2B2"/>
      </right>
      <top style="thin">
        <color indexed="64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indexed="64"/>
      </top>
      <bottom/>
      <diagonal/>
    </border>
    <border>
      <left style="thin">
        <color rgb="FF7F7F7F"/>
      </left>
      <right/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9" fillId="4" borderId="0" applyNumberFormat="0" applyBorder="0" applyAlignment="0" applyProtection="0"/>
    <xf numFmtId="0" fontId="1" fillId="5" borderId="3" applyNumberFormat="0" applyFont="0" applyAlignment="0" applyProtection="0"/>
    <xf numFmtId="0" fontId="15" fillId="6" borderId="0" applyNumberFormat="0" applyBorder="0" applyAlignment="0" applyProtection="0"/>
    <xf numFmtId="0" fontId="22" fillId="7" borderId="0" applyNumberFormat="0" applyBorder="0" applyAlignment="0" applyProtection="0"/>
  </cellStyleXfs>
  <cellXfs count="325">
    <xf numFmtId="0" fontId="0" fillId="0" borderId="0" xfId="0"/>
    <xf numFmtId="2" fontId="2" fillId="2" borderId="1" xfId="1" applyNumberFormat="1" applyFont="1" applyFill="1" applyBorder="1" applyAlignment="1">
      <alignment horizontal="right"/>
    </xf>
    <xf numFmtId="9" fontId="0" fillId="0" borderId="0" xfId="1" applyFont="1"/>
    <xf numFmtId="0" fontId="4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4" fillId="0" borderId="0" xfId="0" applyFont="1" applyAlignment="1">
      <alignment horizontal="center"/>
    </xf>
    <xf numFmtId="0" fontId="4" fillId="0" borderId="0" xfId="0" applyFont="1"/>
    <xf numFmtId="1" fontId="12" fillId="4" borderId="2" xfId="4" applyNumberFormat="1" applyFont="1" applyBorder="1" applyAlignment="1">
      <alignment horizontal="right"/>
    </xf>
    <xf numFmtId="0" fontId="13" fillId="0" borderId="6" xfId="0" applyFont="1" applyBorder="1" applyAlignment="1">
      <alignment horizontal="left" indent="1"/>
    </xf>
    <xf numFmtId="10" fontId="0" fillId="0" borderId="0" xfId="1" applyNumberFormat="1" applyFont="1"/>
    <xf numFmtId="1" fontId="0" fillId="0" borderId="0" xfId="1" applyNumberFormat="1" applyFont="1"/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left" indent="1"/>
    </xf>
    <xf numFmtId="0" fontId="4" fillId="0" borderId="6" xfId="0" applyFont="1" applyBorder="1"/>
    <xf numFmtId="0" fontId="0" fillId="0" borderId="6" xfId="0" applyBorder="1"/>
    <xf numFmtId="0" fontId="9" fillId="4" borderId="2" xfId="4" applyBorder="1"/>
    <xf numFmtId="0" fontId="0" fillId="0" borderId="0" xfId="0" applyAlignment="1">
      <alignment horizontal="left" indent="1"/>
    </xf>
    <xf numFmtId="2" fontId="0" fillId="0" borderId="0" xfId="0" applyNumberFormat="1"/>
    <xf numFmtId="2" fontId="3" fillId="3" borderId="1" xfId="3" applyNumberFormat="1"/>
    <xf numFmtId="164" fontId="3" fillId="3" borderId="1" xfId="3" applyNumberFormat="1"/>
    <xf numFmtId="164" fontId="3" fillId="3" borderId="4" xfId="3" applyNumberFormat="1" applyBorder="1"/>
    <xf numFmtId="2" fontId="3" fillId="3" borderId="1" xfId="3" applyNumberFormat="1" applyAlignment="1">
      <alignment horizontal="right"/>
    </xf>
    <xf numFmtId="164" fontId="3" fillId="3" borderId="5" xfId="3" applyNumberFormat="1" applyBorder="1"/>
    <xf numFmtId="1" fontId="3" fillId="3" borderId="1" xfId="3" applyNumberFormat="1"/>
    <xf numFmtId="11" fontId="3" fillId="3" borderId="1" xfId="3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164" fontId="4" fillId="0" borderId="0" xfId="0" applyNumberFormat="1" applyFont="1" applyAlignment="1">
      <alignment horizontal="left" indent="1"/>
    </xf>
    <xf numFmtId="1" fontId="2" fillId="2" borderId="1" xfId="2" applyNumberFormat="1" applyAlignment="1">
      <alignment horizontal="center"/>
    </xf>
    <xf numFmtId="168" fontId="3" fillId="3" borderId="1" xfId="3" applyNumberFormat="1"/>
    <xf numFmtId="164" fontId="4" fillId="0" borderId="0" xfId="0" applyNumberFormat="1" applyFont="1" applyAlignment="1">
      <alignment horizontal="center"/>
    </xf>
    <xf numFmtId="11" fontId="0" fillId="0" borderId="0" xfId="0" applyNumberFormat="1"/>
    <xf numFmtId="49" fontId="4" fillId="0" borderId="0" xfId="0" applyNumberFormat="1" applyFont="1" applyAlignment="1">
      <alignment wrapText="1"/>
    </xf>
    <xf numFmtId="49" fontId="0" fillId="0" borderId="0" xfId="0" applyNumberFormat="1" applyAlignment="1">
      <alignment horizontal="left" vertical="top" indent="1"/>
    </xf>
    <xf numFmtId="0" fontId="4" fillId="0" borderId="0" xfId="0" applyFont="1" applyAlignment="1">
      <alignment wrapText="1"/>
    </xf>
    <xf numFmtId="165" fontId="15" fillId="6" borderId="2" xfId="6" applyNumberFormat="1" applyBorder="1" applyAlignment="1"/>
    <xf numFmtId="0" fontId="0" fillId="0" borderId="0" xfId="0" applyAlignment="1">
      <alignment horizontal="center" vertical="center" wrapText="1"/>
    </xf>
    <xf numFmtId="1" fontId="6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 wrapText="1"/>
    </xf>
    <xf numFmtId="2" fontId="15" fillId="6" borderId="2" xfId="6" applyNumberFormat="1" applyBorder="1" applyAlignment="1">
      <alignment horizontal="right" vertical="center"/>
    </xf>
    <xf numFmtId="164" fontId="3" fillId="3" borderId="1" xfId="3" applyNumberFormat="1" applyAlignment="1">
      <alignment horizontal="right" vertical="center"/>
    </xf>
    <xf numFmtId="166" fontId="15" fillId="6" borderId="2" xfId="6" applyNumberFormat="1" applyBorder="1" applyAlignment="1">
      <alignment horizontal="right" vertical="center"/>
    </xf>
    <xf numFmtId="0" fontId="0" fillId="0" borderId="0" xfId="0" applyAlignment="1">
      <alignment vertical="center"/>
    </xf>
    <xf numFmtId="1" fontId="15" fillId="6" borderId="2" xfId="6" applyNumberFormat="1" applyBorder="1" applyAlignment="1">
      <alignment horizontal="right" vertical="center"/>
    </xf>
    <xf numFmtId="1" fontId="3" fillId="3" borderId="1" xfId="3" applyNumberFormat="1" applyAlignment="1">
      <alignment vertical="center"/>
    </xf>
    <xf numFmtId="166" fontId="15" fillId="6" borderId="2" xfId="1" applyNumberFormat="1" applyFont="1" applyFill="1" applyBorder="1" applyAlignment="1">
      <alignment vertical="center"/>
    </xf>
    <xf numFmtId="165" fontId="15" fillId="6" borderId="2" xfId="6" applyNumberFormat="1" applyBorder="1" applyAlignment="1">
      <alignment horizontal="right" vertical="center"/>
    </xf>
    <xf numFmtId="165" fontId="19" fillId="5" borderId="3" xfId="5" applyNumberFormat="1" applyFont="1" applyAlignment="1">
      <alignment vertical="center"/>
    </xf>
    <xf numFmtId="2" fontId="19" fillId="5" borderId="3" xfId="5" applyNumberFormat="1" applyFont="1" applyAlignment="1">
      <alignment vertical="center"/>
    </xf>
    <xf numFmtId="165" fontId="3" fillId="3" borderId="1" xfId="3" applyNumberFormat="1" applyAlignment="1">
      <alignment vertical="center"/>
    </xf>
    <xf numFmtId="2" fontId="0" fillId="0" borderId="0" xfId="0" applyNumberFormat="1" applyAlignment="1">
      <alignment vertical="center"/>
    </xf>
    <xf numFmtId="49" fontId="20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 wrapText="1"/>
    </xf>
    <xf numFmtId="2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vertical="center"/>
    </xf>
    <xf numFmtId="16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/>
    </xf>
    <xf numFmtId="1" fontId="20" fillId="0" borderId="0" xfId="0" applyNumberFormat="1" applyFont="1" applyAlignment="1">
      <alignment vertical="center"/>
    </xf>
    <xf numFmtId="166" fontId="20" fillId="0" borderId="0" xfId="1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/>
    </xf>
    <xf numFmtId="167" fontId="0" fillId="0" borderId="0" xfId="0" applyNumberFormat="1" applyAlignment="1">
      <alignment horizontal="left" vertical="center"/>
    </xf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horizontal="left" vertical="center"/>
    </xf>
    <xf numFmtId="1" fontId="0" fillId="0" borderId="0" xfId="0" applyNumberFormat="1" applyAlignment="1">
      <alignment vertical="center"/>
    </xf>
    <xf numFmtId="166" fontId="0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2" fontId="15" fillId="6" borderId="2" xfId="6" applyNumberFormat="1" applyBorder="1" applyAlignment="1">
      <alignment horizontal="left" vertical="center"/>
    </xf>
    <xf numFmtId="2" fontId="3" fillId="3" borderId="1" xfId="3" applyNumberFormat="1" applyAlignment="1">
      <alignment horizontal="left" vertical="center"/>
    </xf>
    <xf numFmtId="0" fontId="0" fillId="5" borderId="3" xfId="5" applyFont="1" applyAlignment="1">
      <alignment horizontal="left" vertical="center"/>
    </xf>
    <xf numFmtId="49" fontId="4" fillId="0" borderId="0" xfId="0" applyNumberFormat="1" applyFont="1" applyAlignment="1">
      <alignment vertical="center" wrapText="1"/>
    </xf>
    <xf numFmtId="49" fontId="4" fillId="0" borderId="7" xfId="0" applyNumberFormat="1" applyFont="1" applyBorder="1" applyAlignment="1">
      <alignment horizontal="left" vertical="center" wrapText="1"/>
    </xf>
    <xf numFmtId="166" fontId="4" fillId="0" borderId="7" xfId="1" applyNumberFormat="1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66" fontId="4" fillId="0" borderId="6" xfId="1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/>
    </xf>
    <xf numFmtId="165" fontId="4" fillId="0" borderId="9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2" fontId="15" fillId="6" borderId="10" xfId="6" applyNumberFormat="1" applyBorder="1" applyAlignment="1">
      <alignment horizontal="right" vertical="center"/>
    </xf>
    <xf numFmtId="164" fontId="3" fillId="3" borderId="5" xfId="3" applyNumberFormat="1" applyBorder="1" applyAlignment="1">
      <alignment horizontal="right" vertical="center"/>
    </xf>
    <xf numFmtId="166" fontId="15" fillId="6" borderId="10" xfId="6" applyNumberFormat="1" applyBorder="1" applyAlignment="1">
      <alignment horizontal="right" vertical="center"/>
    </xf>
    <xf numFmtId="1" fontId="15" fillId="6" borderId="10" xfId="6" applyNumberFormat="1" applyBorder="1" applyAlignment="1">
      <alignment horizontal="right" vertical="center"/>
    </xf>
    <xf numFmtId="1" fontId="3" fillId="3" borderId="5" xfId="3" applyNumberFormat="1" applyBorder="1" applyAlignment="1">
      <alignment vertical="center"/>
    </xf>
    <xf numFmtId="166" fontId="15" fillId="6" borderId="10" xfId="1" applyNumberFormat="1" applyFont="1" applyFill="1" applyBorder="1" applyAlignment="1">
      <alignment vertical="center"/>
    </xf>
    <xf numFmtId="165" fontId="15" fillId="6" borderId="10" xfId="6" applyNumberFormat="1" applyBorder="1" applyAlignment="1">
      <alignment horizontal="right" vertical="center"/>
    </xf>
    <xf numFmtId="2" fontId="15" fillId="6" borderId="10" xfId="6" applyNumberFormat="1" applyBorder="1" applyAlignment="1">
      <alignment vertical="center"/>
    </xf>
    <xf numFmtId="165" fontId="0" fillId="5" borderId="3" xfId="5" applyNumberFormat="1" applyFont="1" applyAlignment="1">
      <alignment vertical="center"/>
    </xf>
    <xf numFmtId="1" fontId="15" fillId="6" borderId="10" xfId="6" applyNumberFormat="1" applyBorder="1" applyAlignment="1">
      <alignment vertical="center"/>
    </xf>
    <xf numFmtId="2" fontId="3" fillId="3" borderId="5" xfId="3" applyNumberFormat="1" applyBorder="1" applyAlignment="1">
      <alignment vertical="center"/>
    </xf>
    <xf numFmtId="2" fontId="15" fillId="6" borderId="2" xfId="6" applyNumberFormat="1" applyBorder="1" applyAlignment="1">
      <alignment vertical="center"/>
    </xf>
    <xf numFmtId="1" fontId="15" fillId="6" borderId="2" xfId="6" applyNumberFormat="1" applyBorder="1" applyAlignment="1">
      <alignment vertical="center"/>
    </xf>
    <xf numFmtId="2" fontId="3" fillId="3" borderId="1" xfId="3" applyNumberFormat="1" applyAlignment="1">
      <alignment vertical="center"/>
    </xf>
    <xf numFmtId="0" fontId="0" fillId="0" borderId="0" xfId="0" applyAlignment="1">
      <alignment horizontal="right" vertical="center"/>
    </xf>
    <xf numFmtId="166" fontId="19" fillId="5" borderId="3" xfId="5" applyNumberFormat="1" applyFont="1" applyAlignment="1">
      <alignment vertical="center"/>
    </xf>
    <xf numFmtId="165" fontId="15" fillId="6" borderId="1" xfId="6" applyNumberFormat="1" applyBorder="1" applyAlignment="1">
      <alignment vertical="center"/>
    </xf>
    <xf numFmtId="49" fontId="0" fillId="0" borderId="9" xfId="0" applyNumberFormat="1" applyBorder="1" applyAlignment="1">
      <alignment horizontal="left" vertical="center" wrapText="1"/>
    </xf>
    <xf numFmtId="2" fontId="0" fillId="0" borderId="9" xfId="0" applyNumberFormat="1" applyBorder="1" applyAlignment="1">
      <alignment horizontal="right" vertical="center"/>
    </xf>
    <xf numFmtId="49" fontId="0" fillId="0" borderId="9" xfId="0" applyNumberFormat="1" applyBorder="1" applyAlignment="1">
      <alignment horizontal="left" vertical="center"/>
    </xf>
    <xf numFmtId="164" fontId="0" fillId="0" borderId="9" xfId="0" applyNumberFormat="1" applyBorder="1" applyAlignment="1">
      <alignment horizontal="right" vertical="center"/>
    </xf>
    <xf numFmtId="166" fontId="0" fillId="0" borderId="9" xfId="1" applyNumberFormat="1" applyFont="1" applyBorder="1" applyAlignment="1">
      <alignment horizontal="right" vertical="center"/>
    </xf>
    <xf numFmtId="0" fontId="0" fillId="0" borderId="9" xfId="0" applyBorder="1" applyAlignment="1">
      <alignment vertical="center"/>
    </xf>
    <xf numFmtId="1" fontId="0" fillId="0" borderId="9" xfId="0" applyNumberFormat="1" applyBorder="1" applyAlignment="1">
      <alignment horizontal="right" vertical="center"/>
    </xf>
    <xf numFmtId="166" fontId="0" fillId="0" borderId="9" xfId="1" applyNumberFormat="1" applyFont="1" applyBorder="1" applyAlignment="1">
      <alignment vertical="center"/>
    </xf>
    <xf numFmtId="165" fontId="0" fillId="0" borderId="9" xfId="0" applyNumberFormat="1" applyBorder="1" applyAlignment="1">
      <alignment horizontal="right" vertical="center"/>
    </xf>
    <xf numFmtId="165" fontId="0" fillId="0" borderId="9" xfId="0" applyNumberFormat="1" applyBorder="1" applyAlignment="1">
      <alignment vertical="center"/>
    </xf>
    <xf numFmtId="2" fontId="0" fillId="0" borderId="9" xfId="0" applyNumberFormat="1" applyBorder="1" applyAlignment="1">
      <alignment vertical="center"/>
    </xf>
    <xf numFmtId="165" fontId="3" fillId="3" borderId="5" xfId="3" applyNumberFormat="1" applyBorder="1" applyAlignment="1">
      <alignment vertical="center"/>
    </xf>
    <xf numFmtId="166" fontId="0" fillId="0" borderId="9" xfId="0" applyNumberFormat="1" applyBorder="1" applyAlignment="1">
      <alignment horizontal="right" vertical="center"/>
    </xf>
    <xf numFmtId="4" fontId="0" fillId="0" borderId="9" xfId="0" applyNumberFormat="1" applyBorder="1" applyAlignment="1">
      <alignment vertical="center"/>
    </xf>
    <xf numFmtId="166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 wrapText="1"/>
    </xf>
    <xf numFmtId="164" fontId="0" fillId="0" borderId="0" xfId="1" applyNumberFormat="1" applyFont="1" applyAlignment="1">
      <alignment vertical="center"/>
    </xf>
    <xf numFmtId="164" fontId="4" fillId="0" borderId="6" xfId="0" applyNumberFormat="1" applyFont="1" applyBorder="1" applyAlignment="1">
      <alignment horizontal="center" vertical="center"/>
    </xf>
    <xf numFmtId="1" fontId="3" fillId="3" borderId="4" xfId="3" applyNumberFormat="1" applyBorder="1"/>
    <xf numFmtId="11" fontId="3" fillId="3" borderId="5" xfId="3" applyNumberFormat="1" applyBorder="1" applyAlignment="1">
      <alignment vertical="center"/>
    </xf>
    <xf numFmtId="11" fontId="3" fillId="3" borderId="1" xfId="3" applyNumberFormat="1" applyAlignment="1">
      <alignment vertical="center"/>
    </xf>
    <xf numFmtId="11" fontId="0" fillId="0" borderId="0" xfId="0" applyNumberFormat="1" applyAlignment="1">
      <alignment vertical="center"/>
    </xf>
    <xf numFmtId="11" fontId="0" fillId="0" borderId="9" xfId="0" applyNumberFormat="1" applyBorder="1" applyAlignment="1">
      <alignment vertical="center"/>
    </xf>
    <xf numFmtId="0" fontId="4" fillId="0" borderId="0" xfId="0" applyFont="1" applyAlignment="1">
      <alignment horizontal="right"/>
    </xf>
    <xf numFmtId="2" fontId="19" fillId="5" borderId="12" xfId="5" applyNumberFormat="1" applyFont="1" applyBorder="1"/>
    <xf numFmtId="0" fontId="15" fillId="6" borderId="2" xfId="6" applyBorder="1"/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center" indent="1"/>
    </xf>
    <xf numFmtId="0" fontId="0" fillId="0" borderId="0" xfId="0" applyAlignment="1">
      <alignment horizontal="right"/>
    </xf>
    <xf numFmtId="164" fontId="0" fillId="0" borderId="19" xfId="0" applyNumberFormat="1" applyBorder="1"/>
    <xf numFmtId="164" fontId="0" fillId="0" borderId="25" xfId="0" applyNumberFormat="1" applyBorder="1"/>
    <xf numFmtId="1" fontId="0" fillId="0" borderId="9" xfId="0" applyNumberFormat="1" applyBorder="1"/>
    <xf numFmtId="0" fontId="0" fillId="0" borderId="9" xfId="0" applyBorder="1"/>
    <xf numFmtId="11" fontId="0" fillId="0" borderId="9" xfId="0" applyNumberFormat="1" applyBorder="1"/>
    <xf numFmtId="3" fontId="0" fillId="0" borderId="9" xfId="0" applyNumberFormat="1" applyBorder="1"/>
    <xf numFmtId="49" fontId="0" fillId="0" borderId="0" xfId="0" quotePrefix="1" applyNumberFormat="1" applyAlignment="1">
      <alignment horizontal="left" vertical="center" wrapText="1"/>
    </xf>
    <xf numFmtId="0" fontId="24" fillId="0" borderId="0" xfId="0" applyFont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2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vertical="center"/>
    </xf>
    <xf numFmtId="166" fontId="4" fillId="0" borderId="0" xfId="1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2" fontId="4" fillId="0" borderId="0" xfId="0" applyNumberFormat="1" applyFont="1"/>
    <xf numFmtId="164" fontId="4" fillId="0" borderId="0" xfId="0" applyNumberFormat="1" applyFont="1"/>
    <xf numFmtId="1" fontId="4" fillId="0" borderId="0" xfId="0" applyNumberFormat="1" applyFont="1"/>
    <xf numFmtId="0" fontId="25" fillId="0" borderId="0" xfId="0" applyFont="1"/>
    <xf numFmtId="0" fontId="2" fillId="2" borderId="1" xfId="2"/>
    <xf numFmtId="0" fontId="0" fillId="0" borderId="0" xfId="0" quotePrefix="1"/>
    <xf numFmtId="0" fontId="25" fillId="0" borderId="11" xfId="0" applyFont="1" applyBorder="1" applyAlignment="1">
      <alignment horizontal="center"/>
    </xf>
    <xf numFmtId="2" fontId="2" fillId="2" borderId="1" xfId="2" quotePrefix="1" applyNumberFormat="1" applyAlignment="1"/>
    <xf numFmtId="1" fontId="2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3" fontId="0" fillId="0" borderId="0" xfId="0" applyNumberFormat="1"/>
    <xf numFmtId="164" fontId="3" fillId="3" borderId="27" xfId="3" applyNumberFormat="1" applyBorder="1"/>
    <xf numFmtId="1" fontId="3" fillId="3" borderId="27" xfId="3" applyNumberFormat="1" applyBorder="1"/>
    <xf numFmtId="11" fontId="3" fillId="3" borderId="27" xfId="3" applyNumberFormat="1" applyBorder="1"/>
    <xf numFmtId="1" fontId="0" fillId="0" borderId="6" xfId="0" applyNumberFormat="1" applyBorder="1"/>
    <xf numFmtId="164" fontId="0" fillId="0" borderId="28" xfId="0" applyNumberFormat="1" applyBorder="1"/>
    <xf numFmtId="1" fontId="0" fillId="0" borderId="29" xfId="0" applyNumberFormat="1" applyBorder="1"/>
    <xf numFmtId="11" fontId="0" fillId="0" borderId="29" xfId="0" applyNumberFormat="1" applyBorder="1"/>
    <xf numFmtId="0" fontId="0" fillId="0" borderId="29" xfId="0" applyBorder="1"/>
    <xf numFmtId="3" fontId="0" fillId="0" borderId="29" xfId="0" applyNumberFormat="1" applyBorder="1"/>
    <xf numFmtId="164" fontId="0" fillId="0" borderId="30" xfId="0" applyNumberFormat="1" applyBorder="1"/>
    <xf numFmtId="164" fontId="0" fillId="0" borderId="24" xfId="0" applyNumberFormat="1" applyBorder="1"/>
    <xf numFmtId="164" fontId="0" fillId="0" borderId="26" xfId="0" applyNumberFormat="1" applyBorder="1"/>
    <xf numFmtId="0" fontId="6" fillId="0" borderId="0" xfId="0" applyFont="1" applyAlignment="1">
      <alignment horizontal="left" indent="3"/>
    </xf>
    <xf numFmtId="165" fontId="15" fillId="6" borderId="10" xfId="6" applyNumberFormat="1" applyBorder="1" applyAlignment="1"/>
    <xf numFmtId="0" fontId="0" fillId="0" borderId="0" xfId="0" quotePrefix="1" applyAlignment="1">
      <alignment horizontal="left" indent="1"/>
    </xf>
    <xf numFmtId="0" fontId="10" fillId="0" borderId="0" xfId="0" quotePrefix="1" applyFont="1" applyAlignment="1">
      <alignment horizontal="left" indent="1"/>
    </xf>
    <xf numFmtId="49" fontId="0" fillId="0" borderId="0" xfId="0" quotePrefix="1" applyNumberFormat="1" applyAlignment="1">
      <alignment horizontal="left" indent="1"/>
    </xf>
    <xf numFmtId="49" fontId="20" fillId="0" borderId="0" xfId="0" applyNumberFormat="1" applyFont="1"/>
    <xf numFmtId="49" fontId="20" fillId="0" borderId="0" xfId="0" applyNumberFormat="1" applyFont="1" applyAlignment="1">
      <alignment vertical="top"/>
    </xf>
    <xf numFmtId="2" fontId="20" fillId="0" borderId="0" xfId="0" applyNumberFormat="1" applyFont="1"/>
    <xf numFmtId="164" fontId="20" fillId="0" borderId="0" xfId="0" applyNumberFormat="1" applyFont="1"/>
    <xf numFmtId="1" fontId="20" fillId="0" borderId="0" xfId="0" applyNumberFormat="1" applyFont="1"/>
    <xf numFmtId="49" fontId="20" fillId="0" borderId="0" xfId="0" applyNumberFormat="1" applyFont="1" applyAlignment="1">
      <alignment wrapText="1"/>
    </xf>
    <xf numFmtId="165" fontId="20" fillId="0" borderId="0" xfId="0" applyNumberFormat="1" applyFont="1"/>
    <xf numFmtId="0" fontId="20" fillId="0" borderId="0" xfId="0" applyFont="1"/>
    <xf numFmtId="166" fontId="20" fillId="0" borderId="0" xfId="1" applyNumberFormat="1" applyFont="1" applyAlignment="1"/>
    <xf numFmtId="4" fontId="20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Alignment="1">
      <alignment vertical="top"/>
    </xf>
    <xf numFmtId="165" fontId="4" fillId="0" borderId="0" xfId="0" applyNumberFormat="1" applyFont="1"/>
    <xf numFmtId="166" fontId="4" fillId="0" borderId="0" xfId="1" applyNumberFormat="1" applyFont="1" applyAlignment="1"/>
    <xf numFmtId="4" fontId="4" fillId="0" borderId="0" xfId="0" applyNumberFormat="1" applyFont="1"/>
    <xf numFmtId="167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166" fontId="0" fillId="0" borderId="0" xfId="1" applyNumberFormat="1" applyFont="1" applyAlignment="1"/>
    <xf numFmtId="4" fontId="0" fillId="0" borderId="0" xfId="0" applyNumberFormat="1"/>
    <xf numFmtId="0" fontId="0" fillId="5" borderId="3" xfId="5" applyFont="1" applyAlignment="1">
      <alignment vertical="center"/>
    </xf>
    <xf numFmtId="49" fontId="4" fillId="0" borderId="7" xfId="0" applyNumberFormat="1" applyFont="1" applyBorder="1" applyAlignment="1">
      <alignment wrapText="1"/>
    </xf>
    <xf numFmtId="49" fontId="4" fillId="0" borderId="7" xfId="0" applyNumberFormat="1" applyFont="1" applyBorder="1"/>
    <xf numFmtId="0" fontId="0" fillId="0" borderId="7" xfId="0" applyBorder="1"/>
    <xf numFmtId="166" fontId="4" fillId="0" borderId="7" xfId="1" applyNumberFormat="1" applyFont="1" applyBorder="1" applyAlignment="1">
      <alignment wrapText="1"/>
    </xf>
    <xf numFmtId="4" fontId="4" fillId="0" borderId="7" xfId="0" applyNumberFormat="1" applyFont="1" applyBorder="1" applyAlignment="1">
      <alignment wrapText="1"/>
    </xf>
    <xf numFmtId="49" fontId="4" fillId="0" borderId="8" xfId="0" applyNumberFormat="1" applyFont="1" applyBorder="1" applyAlignment="1">
      <alignment vertical="top"/>
    </xf>
    <xf numFmtId="49" fontId="4" fillId="0" borderId="8" xfId="0" applyNumberFormat="1" applyFont="1" applyBorder="1"/>
    <xf numFmtId="2" fontId="4" fillId="0" borderId="8" xfId="0" applyNumberFormat="1" applyFont="1" applyBorder="1"/>
    <xf numFmtId="164" fontId="4" fillId="0" borderId="8" xfId="0" applyNumberFormat="1" applyFont="1" applyBorder="1"/>
    <xf numFmtId="1" fontId="4" fillId="0" borderId="8" xfId="0" applyNumberFormat="1" applyFont="1" applyBorder="1"/>
    <xf numFmtId="0" fontId="0" fillId="0" borderId="8" xfId="0" applyBorder="1"/>
    <xf numFmtId="49" fontId="4" fillId="0" borderId="8" xfId="0" applyNumberFormat="1" applyFont="1" applyBorder="1" applyAlignment="1">
      <alignment wrapText="1"/>
    </xf>
    <xf numFmtId="165" fontId="4" fillId="0" borderId="8" xfId="0" applyNumberFormat="1" applyFont="1" applyBorder="1"/>
    <xf numFmtId="0" fontId="4" fillId="0" borderId="8" xfId="0" applyFont="1" applyBorder="1"/>
    <xf numFmtId="166" fontId="4" fillId="0" borderId="8" xfId="1" applyNumberFormat="1" applyFont="1" applyBorder="1" applyAlignment="1"/>
    <xf numFmtId="4" fontId="4" fillId="0" borderId="8" xfId="0" applyNumberFormat="1" applyFont="1" applyBorder="1"/>
    <xf numFmtId="49" fontId="4" fillId="0" borderId="31" xfId="0" applyNumberFormat="1" applyFont="1" applyBorder="1" applyAlignment="1">
      <alignment vertical="top"/>
    </xf>
    <xf numFmtId="49" fontId="4" fillId="0" borderId="31" xfId="0" applyNumberFormat="1" applyFont="1" applyBorder="1"/>
    <xf numFmtId="2" fontId="4" fillId="0" borderId="31" xfId="0" applyNumberFormat="1" applyFont="1" applyBorder="1"/>
    <xf numFmtId="164" fontId="4" fillId="0" borderId="31" xfId="0" applyNumberFormat="1" applyFont="1" applyBorder="1"/>
    <xf numFmtId="1" fontId="4" fillId="0" borderId="31" xfId="0" applyNumberFormat="1" applyFont="1" applyBorder="1"/>
    <xf numFmtId="0" fontId="0" fillId="0" borderId="31" xfId="0" applyBorder="1"/>
    <xf numFmtId="49" fontId="4" fillId="0" borderId="31" xfId="0" applyNumberFormat="1" applyFont="1" applyBorder="1" applyAlignment="1">
      <alignment wrapText="1"/>
    </xf>
    <xf numFmtId="165" fontId="4" fillId="0" borderId="31" xfId="0" applyNumberFormat="1" applyFont="1" applyBorder="1"/>
    <xf numFmtId="0" fontId="4" fillId="0" borderId="31" xfId="0" applyFont="1" applyBorder="1"/>
    <xf numFmtId="166" fontId="4" fillId="0" borderId="31" xfId="1" applyNumberFormat="1" applyFont="1" applyBorder="1" applyAlignment="1"/>
    <xf numFmtId="4" fontId="4" fillId="0" borderId="31" xfId="0" applyNumberFormat="1" applyFont="1" applyBorder="1"/>
    <xf numFmtId="2" fontId="15" fillId="6" borderId="10" xfId="6" applyNumberFormat="1" applyBorder="1" applyAlignment="1"/>
    <xf numFmtId="164" fontId="3" fillId="3" borderId="5" xfId="3" applyNumberFormat="1" applyBorder="1" applyAlignment="1"/>
    <xf numFmtId="1" fontId="15" fillId="6" borderId="10" xfId="6" applyNumberFormat="1" applyBorder="1" applyAlignment="1"/>
    <xf numFmtId="49" fontId="15" fillId="6" borderId="10" xfId="6" applyNumberFormat="1" applyBorder="1" applyAlignment="1"/>
    <xf numFmtId="11" fontId="3" fillId="3" borderId="5" xfId="3" applyNumberFormat="1" applyBorder="1" applyAlignment="1"/>
    <xf numFmtId="10" fontId="15" fillId="6" borderId="10" xfId="1" applyNumberFormat="1" applyFont="1" applyFill="1" applyBorder="1" applyAlignment="1"/>
    <xf numFmtId="4" fontId="0" fillId="5" borderId="12" xfId="5" applyNumberFormat="1" applyFont="1" applyBorder="1" applyAlignment="1"/>
    <xf numFmtId="165" fontId="3" fillId="3" borderId="5" xfId="3" applyNumberFormat="1" applyBorder="1" applyAlignment="1"/>
    <xf numFmtId="2" fontId="15" fillId="6" borderId="2" xfId="6" applyNumberFormat="1" applyBorder="1" applyAlignment="1"/>
    <xf numFmtId="164" fontId="3" fillId="3" borderId="1" xfId="3" applyNumberFormat="1" applyAlignment="1"/>
    <xf numFmtId="1" fontId="15" fillId="6" borderId="2" xfId="6" applyNumberFormat="1" applyBorder="1" applyAlignment="1"/>
    <xf numFmtId="49" fontId="15" fillId="6" borderId="2" xfId="6" applyNumberFormat="1" applyBorder="1" applyAlignment="1"/>
    <xf numFmtId="11" fontId="3" fillId="3" borderId="1" xfId="3" applyNumberFormat="1" applyAlignment="1"/>
    <xf numFmtId="10" fontId="15" fillId="6" borderId="2" xfId="1" applyNumberFormat="1" applyFont="1" applyFill="1" applyBorder="1" applyAlignment="1"/>
    <xf numFmtId="4" fontId="0" fillId="5" borderId="3" xfId="5" applyNumberFormat="1" applyFont="1" applyAlignment="1"/>
    <xf numFmtId="165" fontId="3" fillId="3" borderId="1" xfId="3" applyNumberFormat="1" applyAlignment="1"/>
    <xf numFmtId="4" fontId="15" fillId="6" borderId="2" xfId="6" applyNumberFormat="1" applyBorder="1" applyAlignment="1"/>
    <xf numFmtId="49" fontId="4" fillId="0" borderId="9" xfId="0" applyNumberFormat="1" applyFont="1" applyBorder="1" applyAlignment="1">
      <alignment vertical="top"/>
    </xf>
    <xf numFmtId="164" fontId="0" fillId="0" borderId="0" xfId="1" applyNumberFormat="1" applyFont="1" applyAlignment="1"/>
    <xf numFmtId="4" fontId="15" fillId="6" borderId="10" xfId="6" applyNumberFormat="1" applyBorder="1" applyAlignment="1"/>
    <xf numFmtId="2" fontId="24" fillId="0" borderId="0" xfId="0" applyNumberFormat="1" applyFont="1"/>
    <xf numFmtId="2" fontId="0" fillId="0" borderId="0" xfId="1" applyNumberFormat="1" applyFont="1"/>
    <xf numFmtId="2" fontId="6" fillId="0" borderId="0" xfId="0" applyNumberFormat="1" applyFont="1" applyAlignment="1">
      <alignment horizontal="center"/>
    </xf>
    <xf numFmtId="164" fontId="24" fillId="0" borderId="0" xfId="0" applyNumberFormat="1" applyFont="1"/>
    <xf numFmtId="1" fontId="24" fillId="0" borderId="0" xfId="0" applyNumberFormat="1" applyFont="1"/>
    <xf numFmtId="2" fontId="4" fillId="0" borderId="0" xfId="0" applyNumberFormat="1" applyFont="1" applyAlignment="1">
      <alignment horizontal="center"/>
    </xf>
    <xf numFmtId="2" fontId="3" fillId="3" borderId="27" xfId="3" applyNumberFormat="1" applyBorder="1"/>
    <xf numFmtId="2" fontId="0" fillId="0" borderId="28" xfId="0" applyNumberFormat="1" applyBorder="1"/>
    <xf numFmtId="2" fontId="0" fillId="0" borderId="29" xfId="0" applyNumberFormat="1" applyBorder="1"/>
    <xf numFmtId="164" fontId="0" fillId="0" borderId="29" xfId="0" applyNumberFormat="1" applyBorder="1"/>
    <xf numFmtId="0" fontId="0" fillId="0" borderId="30" xfId="0" applyBorder="1"/>
    <xf numFmtId="2" fontId="0" fillId="0" borderId="19" xfId="0" applyNumberFormat="1" applyBorder="1"/>
    <xf numFmtId="0" fontId="0" fillId="0" borderId="24" xfId="0" applyBorder="1"/>
    <xf numFmtId="2" fontId="0" fillId="0" borderId="25" xfId="0" applyNumberFormat="1" applyBorder="1"/>
    <xf numFmtId="2" fontId="0" fillId="0" borderId="9" xfId="0" applyNumberFormat="1" applyBorder="1"/>
    <xf numFmtId="164" fontId="0" fillId="0" borderId="9" xfId="0" applyNumberFormat="1" applyBorder="1"/>
    <xf numFmtId="0" fontId="0" fillId="0" borderId="26" xfId="0" applyBorder="1"/>
    <xf numFmtId="0" fontId="0" fillId="0" borderId="0" xfId="0" applyAlignment="1">
      <alignment vertical="top" wrapText="1"/>
    </xf>
    <xf numFmtId="0" fontId="0" fillId="0" borderId="0" xfId="0" applyAlignment="1">
      <alignment horizontal="left" vertical="center" indent="1"/>
    </xf>
    <xf numFmtId="0" fontId="29" fillId="0" borderId="0" xfId="0" applyFont="1"/>
    <xf numFmtId="0" fontId="2" fillId="2" borderId="13" xfId="2" applyBorder="1" applyAlignment="1">
      <alignment horizontal="center"/>
    </xf>
    <xf numFmtId="0" fontId="2" fillId="2" borderId="20" xfId="2" applyBorder="1" applyAlignment="1">
      <alignment horizontal="center"/>
    </xf>
    <xf numFmtId="0" fontId="2" fillId="2" borderId="14" xfId="2" applyBorder="1" applyAlignment="1">
      <alignment horizontal="center"/>
    </xf>
    <xf numFmtId="0" fontId="9" fillId="4" borderId="13" xfId="4" applyBorder="1" applyAlignment="1">
      <alignment horizontal="center"/>
    </xf>
    <xf numFmtId="0" fontId="9" fillId="4" borderId="20" xfId="4" applyBorder="1" applyAlignment="1">
      <alignment horizontal="center"/>
    </xf>
    <xf numFmtId="0" fontId="9" fillId="4" borderId="14" xfId="4" applyBorder="1" applyAlignment="1">
      <alignment horizontal="center"/>
    </xf>
    <xf numFmtId="2" fontId="3" fillId="3" borderId="18" xfId="3" applyNumberFormat="1" applyBorder="1" applyAlignment="1">
      <alignment horizontal="center" vertical="center"/>
    </xf>
    <xf numFmtId="2" fontId="3" fillId="3" borderId="0" xfId="3" applyNumberFormat="1" applyBorder="1" applyAlignment="1">
      <alignment horizontal="center" vertical="center"/>
    </xf>
    <xf numFmtId="2" fontId="3" fillId="3" borderId="11" xfId="3" applyNumberForma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top"/>
    </xf>
    <xf numFmtId="0" fontId="2" fillId="2" borderId="32" xfId="2" applyBorder="1" applyAlignment="1">
      <alignment horizontal="left" indent="1"/>
    </xf>
    <xf numFmtId="0" fontId="2" fillId="2" borderId="33" xfId="2" applyBorder="1" applyAlignment="1">
      <alignment horizontal="left" indent="1"/>
    </xf>
    <xf numFmtId="0" fontId="2" fillId="2" borderId="34" xfId="2" applyBorder="1" applyAlignment="1">
      <alignment horizontal="left" indent="1"/>
    </xf>
    <xf numFmtId="0" fontId="0" fillId="5" borderId="3" xfId="5" applyFont="1" applyAlignment="1">
      <alignment horizontal="left" indent="1"/>
    </xf>
    <xf numFmtId="2" fontId="22" fillId="7" borderId="13" xfId="7" applyNumberFormat="1" applyBorder="1" applyAlignment="1">
      <alignment horizontal="center" vertical="center"/>
    </xf>
    <xf numFmtId="2" fontId="22" fillId="7" borderId="20" xfId="7" applyNumberFormat="1" applyBorder="1" applyAlignment="1">
      <alignment horizontal="center" vertical="center"/>
    </xf>
    <xf numFmtId="2" fontId="22" fillId="7" borderId="14" xfId="7" applyNumberFormat="1" applyBorder="1" applyAlignment="1">
      <alignment horizontal="center" vertical="center"/>
    </xf>
    <xf numFmtId="0" fontId="15" fillId="6" borderId="13" xfId="6" applyBorder="1" applyAlignment="1">
      <alignment horizontal="center"/>
    </xf>
    <xf numFmtId="0" fontId="15" fillId="6" borderId="20" xfId="6" applyBorder="1" applyAlignment="1">
      <alignment horizontal="center"/>
    </xf>
    <xf numFmtId="0" fontId="15" fillId="6" borderId="14" xfId="6" applyBorder="1" applyAlignment="1">
      <alignment horizontal="center"/>
    </xf>
    <xf numFmtId="49" fontId="0" fillId="5" borderId="21" xfId="5" applyNumberFormat="1" applyFont="1" applyBorder="1" applyAlignment="1">
      <alignment horizontal="center" vertical="top"/>
    </xf>
    <xf numFmtId="49" fontId="0" fillId="5" borderId="22" xfId="5" applyNumberFormat="1" applyFont="1" applyBorder="1" applyAlignment="1">
      <alignment horizontal="center" vertical="top"/>
    </xf>
    <xf numFmtId="49" fontId="0" fillId="5" borderId="23" xfId="5" applyNumberFormat="1" applyFont="1" applyBorder="1" applyAlignment="1">
      <alignment horizontal="center" vertical="top"/>
    </xf>
    <xf numFmtId="0" fontId="3" fillId="3" borderId="1" xfId="3" applyAlignment="1">
      <alignment horizontal="left" inden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top"/>
    </xf>
    <xf numFmtId="2" fontId="3" fillId="3" borderId="15" xfId="3" applyNumberFormat="1" applyBorder="1" applyAlignment="1">
      <alignment horizontal="center" vertical="center"/>
    </xf>
    <xf numFmtId="2" fontId="3" fillId="3" borderId="16" xfId="3" applyNumberFormat="1" applyBorder="1" applyAlignment="1">
      <alignment horizontal="center" vertical="center"/>
    </xf>
    <xf numFmtId="0" fontId="2" fillId="2" borderId="36" xfId="2" applyBorder="1" applyAlignment="1">
      <alignment horizontal="center"/>
    </xf>
    <xf numFmtId="0" fontId="2" fillId="2" borderId="35" xfId="2" applyBorder="1" applyAlignment="1">
      <alignment horizontal="center"/>
    </xf>
    <xf numFmtId="0" fontId="22" fillId="7" borderId="13" xfId="7" applyBorder="1" applyAlignment="1">
      <alignment horizontal="center"/>
    </xf>
    <xf numFmtId="0" fontId="22" fillId="7" borderId="14" xfId="7" applyBorder="1" applyAlignment="1">
      <alignment horizontal="center"/>
    </xf>
    <xf numFmtId="1" fontId="10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left" vertical="center"/>
    </xf>
    <xf numFmtId="4" fontId="4" fillId="0" borderId="7" xfId="0" applyNumberFormat="1" applyFont="1" applyBorder="1" applyAlignment="1">
      <alignment horizontal="left" vertical="center" wrapText="1"/>
    </xf>
    <xf numFmtId="1" fontId="4" fillId="0" borderId="7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21" fillId="0" borderId="7" xfId="0" applyFont="1" applyBorder="1" applyAlignment="1">
      <alignment wrapText="1"/>
    </xf>
    <xf numFmtId="1" fontId="4" fillId="0" borderId="7" xfId="0" applyNumberFormat="1" applyFont="1" applyBorder="1" applyAlignment="1">
      <alignment wrapText="1"/>
    </xf>
    <xf numFmtId="2" fontId="4" fillId="0" borderId="0" xfId="0" applyNumberFormat="1" applyFont="1" applyAlignment="1">
      <alignment horizontal="left" indent="1"/>
    </xf>
  </cellXfs>
  <cellStyles count="8">
    <cellStyle name="Bad" xfId="7" builtinId="27"/>
    <cellStyle name="Calculation" xfId="3" builtinId="22"/>
    <cellStyle name="Good" xfId="6" builtinId="26"/>
    <cellStyle name="Input" xfId="2" builtinId="20"/>
    <cellStyle name="Neutral" xfId="4" builtinId="28"/>
    <cellStyle name="Normal" xfId="0" builtinId="0"/>
    <cellStyle name="Note" xfId="5" builtinId="10"/>
    <cellStyle name="Percent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Single UD Ply Stiffness Matrix: Coordinate Transformations </a:t>
            </a:r>
            <a:r>
              <a:rPr lang="en-US" baseline="0"/>
              <a:t>(DNV Formulas)</a:t>
            </a:r>
            <a:endParaRPr lang="en-US"/>
          </a:p>
        </c:rich>
      </c:tx>
      <c:layout>
        <c:manualLayout>
          <c:xMode val="edge"/>
          <c:yMode val="edge"/>
          <c:x val="0.1685565010968515"/>
          <c:y val="1.94525312127547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29849779415871"/>
          <c:y val="7.1665063064124485E-2"/>
          <c:w val="0.80867757487760838"/>
          <c:h val="0.79772222985842478"/>
        </c:manualLayout>
      </c:layout>
      <c:scatterChart>
        <c:scatterStyle val="lineMarker"/>
        <c:varyColors val="0"/>
        <c:ser>
          <c:idx val="0"/>
          <c:order val="0"/>
          <c:tx>
            <c:strRef>
              <c:f>'Single Ply DNV'!$R$95</c:f>
              <c:strCache>
                <c:ptCount val="1"/>
                <c:pt idx="0">
                  <c:v>Q11′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DNV'!$R$96:$R$138</c:f>
              <c:numCache>
                <c:formatCode>0</c:formatCode>
                <c:ptCount val="43"/>
                <c:pt idx="0">
                  <c:v>45480.230570590895</c:v>
                </c:pt>
                <c:pt idx="1">
                  <c:v>44854.668958004004</c:v>
                </c:pt>
                <c:pt idx="2">
                  <c:v>43037.032048099107</c:v>
                </c:pt>
                <c:pt idx="3">
                  <c:v>40196.864803274737</c:v>
                </c:pt>
                <c:pt idx="4">
                  <c:v>36592.516165145666</c:v>
                </c:pt>
                <c:pt idx="5">
                  <c:v>32538.496059510064</c:v>
                </c:pt>
                <c:pt idx="6">
                  <c:v>28366.595034483653</c:v>
                </c:pt>
                <c:pt idx="7">
                  <c:v>24386.33981400952</c:v>
                </c:pt>
                <c:pt idx="8">
                  <c:v>20850.383569350997</c:v>
                </c:pt>
                <c:pt idx="9">
                  <c:v>17929.619061906305</c:v>
                </c:pt>
                <c:pt idx="10">
                  <c:v>15701.281687809838</c:v>
                </c:pt>
                <c:pt idx="11">
                  <c:v>14151.311007388758</c:v>
                </c:pt>
                <c:pt idx="12">
                  <c:v>13190.068617477737</c:v>
                </c:pt>
                <c:pt idx="13">
                  <c:v>12678.497695073263</c:v>
                </c:pt>
                <c:pt idx="14">
                  <c:v>12460.260794854212</c:v>
                </c:pt>
                <c:pt idx="15">
                  <c:v>12394.541731327001</c:v>
                </c:pt>
                <c:pt idx="16">
                  <c:v>12384.171855953926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F1-44BF-BD0D-27AD42A49E40}"/>
            </c:ext>
          </c:extLst>
        </c:ser>
        <c:ser>
          <c:idx val="1"/>
          <c:order val="1"/>
          <c:tx>
            <c:strRef>
              <c:f>'Single Ply DNV'!$T$95</c:f>
              <c:strCache>
                <c:ptCount val="1"/>
                <c:pt idx="0">
                  <c:v>Q22′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DNV'!$T$96:$T$138</c:f>
              <c:numCache>
                <c:formatCode>0</c:formatCode>
                <c:ptCount val="43"/>
                <c:pt idx="0">
                  <c:v>12384.171855953926</c:v>
                </c:pt>
                <c:pt idx="1">
                  <c:v>12394.541731327001</c:v>
                </c:pt>
                <c:pt idx="2">
                  <c:v>12460.260794854212</c:v>
                </c:pt>
                <c:pt idx="3">
                  <c:v>12678.49769507326</c:v>
                </c:pt>
                <c:pt idx="4">
                  <c:v>13190.068617477737</c:v>
                </c:pt>
                <c:pt idx="5">
                  <c:v>14151.311007388762</c:v>
                </c:pt>
                <c:pt idx="6">
                  <c:v>15701.281687809835</c:v>
                </c:pt>
                <c:pt idx="7">
                  <c:v>17929.619061906305</c:v>
                </c:pt>
                <c:pt idx="8">
                  <c:v>20850.38356935099</c:v>
                </c:pt>
                <c:pt idx="9">
                  <c:v>24386.33981400952</c:v>
                </c:pt>
                <c:pt idx="10">
                  <c:v>28366.595034483653</c:v>
                </c:pt>
                <c:pt idx="11">
                  <c:v>32538.496059510064</c:v>
                </c:pt>
                <c:pt idx="12">
                  <c:v>36592.516165145673</c:v>
                </c:pt>
                <c:pt idx="13">
                  <c:v>40196.864803274751</c:v>
                </c:pt>
                <c:pt idx="14">
                  <c:v>43037.032048099107</c:v>
                </c:pt>
                <c:pt idx="15">
                  <c:v>44854.668958004004</c:v>
                </c:pt>
                <c:pt idx="16">
                  <c:v>45480.230570590895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F1-44BF-BD0D-27AD42A49E40}"/>
            </c:ext>
          </c:extLst>
        </c:ser>
        <c:ser>
          <c:idx val="2"/>
          <c:order val="2"/>
          <c:tx>
            <c:strRef>
              <c:f>'Single Ply DNV'!$V$95</c:f>
              <c:strCache>
                <c:ptCount val="1"/>
                <c:pt idx="0">
                  <c:v>Q23' = Q32'</c:v>
                </c:pt>
              </c:strCache>
            </c:strRef>
          </c:tx>
          <c:spPr>
            <a:ln w="19050" cap="rnd">
              <a:solidFill>
                <a:schemeClr val="accent4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DNV'!$V$96:$V$138</c:f>
              <c:numCache>
                <c:formatCode>0</c:formatCode>
                <c:ptCount val="43"/>
                <c:pt idx="0">
                  <c:v>0</c:v>
                </c:pt>
                <c:pt idx="1">
                  <c:v>-67.791330163508661</c:v>
                </c:pt>
                <c:pt idx="2">
                  <c:v>-308.97430650349463</c:v>
                </c:pt>
                <c:pt idx="3">
                  <c:v>-863.48330967653112</c:v>
                </c:pt>
                <c:pt idx="4">
                  <c:v>-1809.7030649562757</c:v>
                </c:pt>
                <c:pt idx="5">
                  <c:v>-3146.2788236965757</c:v>
                </c:pt>
                <c:pt idx="6">
                  <c:v>-4786.8387831462651</c:v>
                </c:pt>
                <c:pt idx="7">
                  <c:v>-6568.6429488069543</c:v>
                </c:pt>
                <c:pt idx="8">
                  <c:v>-8274.0146786592413</c:v>
                </c:pt>
                <c:pt idx="9">
                  <c:v>-9661.420664531548</c:v>
                </c:pt>
                <c:pt idx="10">
                  <c:v>-10501.546843476188</c:v>
                </c:pt>
                <c:pt idx="11">
                  <c:v>-10612.904730404163</c:v>
                </c:pt>
                <c:pt idx="12">
                  <c:v>-9891.5207088776933</c:v>
                </c:pt>
                <c:pt idx="13">
                  <c:v>-8330.1092163841186</c:v>
                </c:pt>
                <c:pt idx="14">
                  <c:v>-6023.6823668334155</c:v>
                </c:pt>
                <c:pt idx="15">
                  <c:v>-3160.5690458880977</c:v>
                </c:pt>
                <c:pt idx="16">
                  <c:v>-2.0038322698754158E-12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2F1-44BF-BD0D-27AD42A49E40}"/>
            </c:ext>
          </c:extLst>
        </c:ser>
        <c:ser>
          <c:idx val="3"/>
          <c:order val="3"/>
          <c:tx>
            <c:strRef>
              <c:f>'Single Ply DNV'!$X$95</c:f>
              <c:strCache>
                <c:ptCount val="1"/>
                <c:pt idx="0">
                  <c:v>Q13' = Q31'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DNV'!$X$96:$X$138</c:f>
              <c:numCache>
                <c:formatCode>0</c:formatCode>
                <c:ptCount val="43"/>
                <c:pt idx="0">
                  <c:v>0</c:v>
                </c:pt>
                <c:pt idx="1">
                  <c:v>-3160.569045888099</c:v>
                </c:pt>
                <c:pt idx="2">
                  <c:v>-6023.6823668334127</c:v>
                </c:pt>
                <c:pt idx="3">
                  <c:v>-8330.1092163841149</c:v>
                </c:pt>
                <c:pt idx="4">
                  <c:v>-9891.5207088776915</c:v>
                </c:pt>
                <c:pt idx="5">
                  <c:v>-10612.904730404163</c:v>
                </c:pt>
                <c:pt idx="6">
                  <c:v>-10501.546843476186</c:v>
                </c:pt>
                <c:pt idx="7">
                  <c:v>-9661.420664531548</c:v>
                </c:pt>
                <c:pt idx="8">
                  <c:v>-8274.014678659245</c:v>
                </c:pt>
                <c:pt idx="9">
                  <c:v>-6568.6429488069543</c:v>
                </c:pt>
                <c:pt idx="10">
                  <c:v>-4786.8387831462678</c:v>
                </c:pt>
                <c:pt idx="11">
                  <c:v>-3146.2788236965748</c:v>
                </c:pt>
                <c:pt idx="12">
                  <c:v>-1809.7030649562766</c:v>
                </c:pt>
                <c:pt idx="13">
                  <c:v>-863.48330967653135</c:v>
                </c:pt>
                <c:pt idx="14">
                  <c:v>-308.97430650349486</c:v>
                </c:pt>
                <c:pt idx="15">
                  <c:v>-67.79133016350859</c:v>
                </c:pt>
                <c:pt idx="16">
                  <c:v>-2.354699001470676E-14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2F1-44BF-BD0D-27AD42A49E40}"/>
            </c:ext>
          </c:extLst>
        </c:ser>
        <c:ser>
          <c:idx val="4"/>
          <c:order val="4"/>
          <c:tx>
            <c:strRef>
              <c:f>'Single Ply DNV'!$Z$95</c:f>
              <c:strCache>
                <c:ptCount val="1"/>
                <c:pt idx="0">
                  <c:v>Q12' = Q21'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DNV'!$Z$96:$Z$138</c:f>
              <c:numCache>
                <c:formatCode>0</c:formatCode>
                <c:ptCount val="43"/>
                <c:pt idx="0">
                  <c:v>3368.4947448194675</c:v>
                </c:pt>
                <c:pt idx="1">
                  <c:v>3676.0906134263832</c:v>
                </c:pt>
                <c:pt idx="2">
                  <c:v>4552.0495366152145</c:v>
                </c:pt>
                <c:pt idx="3">
                  <c:v>5863.014708917879</c:v>
                </c:pt>
                <c:pt idx="4">
                  <c:v>7409.4035667801754</c:v>
                </c:pt>
                <c:pt idx="5">
                  <c:v>8955.7924246424718</c:v>
                </c:pt>
                <c:pt idx="6">
                  <c:v>10266.757596945135</c:v>
                </c:pt>
                <c:pt idx="7">
                  <c:v>11142.716520133969</c:v>
                </c:pt>
                <c:pt idx="8">
                  <c:v>11450.312388740884</c:v>
                </c:pt>
                <c:pt idx="9">
                  <c:v>11142.71652013397</c:v>
                </c:pt>
                <c:pt idx="10">
                  <c:v>10266.757596945137</c:v>
                </c:pt>
                <c:pt idx="11">
                  <c:v>8955.79242464247</c:v>
                </c:pt>
                <c:pt idx="12">
                  <c:v>7409.4035667801772</c:v>
                </c:pt>
                <c:pt idx="13">
                  <c:v>5863.0147089178809</c:v>
                </c:pt>
                <c:pt idx="14">
                  <c:v>4552.0495366152163</c:v>
                </c:pt>
                <c:pt idx="15">
                  <c:v>3676.0906134263828</c:v>
                </c:pt>
                <c:pt idx="16">
                  <c:v>3368.4947448194675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2F1-44BF-BD0D-27AD42A49E40}"/>
            </c:ext>
          </c:extLst>
        </c:ser>
        <c:ser>
          <c:idx val="5"/>
          <c:order val="5"/>
          <c:tx>
            <c:strRef>
              <c:f>'Single Ply DNV'!$AB$95</c:f>
              <c:strCache>
                <c:ptCount val="1"/>
                <c:pt idx="0">
                  <c:v>Q33'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'Single Ply DNV'!$P$96:$P$138</c:f>
              <c:numCache>
                <c:formatCode>0.00</c:formatCode>
                <c:ptCount val="43"/>
                <c:pt idx="0">
                  <c:v>0</c:v>
                </c:pt>
                <c:pt idx="1">
                  <c:v>5.625</c:v>
                </c:pt>
                <c:pt idx="2">
                  <c:v>11.25</c:v>
                </c:pt>
                <c:pt idx="3">
                  <c:v>16.875</c:v>
                </c:pt>
                <c:pt idx="4">
                  <c:v>22.5</c:v>
                </c:pt>
                <c:pt idx="5">
                  <c:v>28.125</c:v>
                </c:pt>
                <c:pt idx="6">
                  <c:v>33.75</c:v>
                </c:pt>
                <c:pt idx="7">
                  <c:v>39.375</c:v>
                </c:pt>
                <c:pt idx="8">
                  <c:v>45</c:v>
                </c:pt>
                <c:pt idx="9">
                  <c:v>50.625</c:v>
                </c:pt>
                <c:pt idx="10">
                  <c:v>56.25</c:v>
                </c:pt>
                <c:pt idx="11">
                  <c:v>61.875</c:v>
                </c:pt>
                <c:pt idx="12">
                  <c:v>67.5</c:v>
                </c:pt>
                <c:pt idx="13">
                  <c:v>73.125</c:v>
                </c:pt>
                <c:pt idx="14">
                  <c:v>78.75</c:v>
                </c:pt>
                <c:pt idx="15">
                  <c:v>84.375</c:v>
                </c:pt>
                <c:pt idx="16">
                  <c:v>90</c:v>
                </c:pt>
              </c:numCache>
            </c:numRef>
          </c:xVal>
          <c:yVal>
            <c:numRef>
              <c:f>'Single Ply DNV'!$AB$96:$AB$138</c:f>
              <c:numCache>
                <c:formatCode>0</c:formatCode>
                <c:ptCount val="43"/>
                <c:pt idx="0">
                  <c:v>4700.0355903050568</c:v>
                </c:pt>
                <c:pt idx="1">
                  <c:v>5007.6314589119729</c:v>
                </c:pt>
                <c:pt idx="2">
                  <c:v>5883.5903821008042</c:v>
                </c:pt>
                <c:pt idx="3">
                  <c:v>7194.5555544034687</c:v>
                </c:pt>
                <c:pt idx="4">
                  <c:v>8740.9444122657642</c:v>
                </c:pt>
                <c:pt idx="5">
                  <c:v>10287.333270128061</c:v>
                </c:pt>
                <c:pt idx="6">
                  <c:v>11598.298442430723</c:v>
                </c:pt>
                <c:pt idx="7">
                  <c:v>12474.25736561956</c:v>
                </c:pt>
                <c:pt idx="8">
                  <c:v>12781.853234226473</c:v>
                </c:pt>
                <c:pt idx="9">
                  <c:v>12474.257365619558</c:v>
                </c:pt>
                <c:pt idx="10">
                  <c:v>11598.298442430729</c:v>
                </c:pt>
                <c:pt idx="11">
                  <c:v>10287.33327012806</c:v>
                </c:pt>
                <c:pt idx="12">
                  <c:v>8740.944412265766</c:v>
                </c:pt>
                <c:pt idx="13">
                  <c:v>7194.5555544034705</c:v>
                </c:pt>
                <c:pt idx="14">
                  <c:v>5883.5903821008051</c:v>
                </c:pt>
                <c:pt idx="15">
                  <c:v>5007.631458911972</c:v>
                </c:pt>
                <c:pt idx="16">
                  <c:v>4700.0355903050568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2F1-44BF-BD0D-27AD42A49E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770832"/>
        <c:axId val="1068774792"/>
      </c:scatterChart>
      <c:valAx>
        <c:axId val="1068770832"/>
        <c:scaling>
          <c:orientation val="minMax"/>
          <c:max val="9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Transformation </a:t>
                </a:r>
                <a:r>
                  <a:rPr lang="en-US" sz="1200" baseline="0"/>
                  <a:t> Angle, </a:t>
                </a:r>
                <a:r>
                  <a:rPr lang="el-GR" sz="1200" baseline="0"/>
                  <a:t>ϴ</a:t>
                </a:r>
                <a:r>
                  <a:rPr lang="en-US" sz="1200" baseline="0"/>
                  <a:t> (degrees)  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.37960805662641839"/>
              <c:y val="0.889638763982432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8774792"/>
        <c:crosses val="autoZero"/>
        <c:crossBetween val="midCat"/>
      </c:valAx>
      <c:valAx>
        <c:axId val="1068774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Component Moduli</a:t>
                </a:r>
                <a:r>
                  <a:rPr lang="en-US" sz="1200" baseline="0"/>
                  <a:t> </a:t>
                </a:r>
                <a:r>
                  <a:rPr lang="en-US" sz="1200"/>
                  <a:t>(MPa)</a:t>
                </a:r>
              </a:p>
            </c:rich>
          </c:tx>
          <c:layout>
            <c:manualLayout>
              <c:xMode val="edge"/>
              <c:yMode val="edge"/>
              <c:x val="2.7572902649476289E-2"/>
              <c:y val="0.393541998023314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87708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0149476287459993E-2"/>
          <c:y val="0.93766678800186476"/>
          <c:w val="0.86496842722577827"/>
          <c:h val="2.84154940556528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0"/>
              <a:t>Transverse Tensile Modulus, </a:t>
            </a:r>
            <a:r>
              <a:rPr lang="en-US" i="1"/>
              <a:t>E</a:t>
            </a:r>
            <a:r>
              <a:rPr lang="en-US" i="0" baseline="-25000"/>
              <a:t>22</a:t>
            </a:r>
            <a:r>
              <a:rPr lang="en-US" i="0"/>
              <a:t>,</a:t>
            </a:r>
            <a:r>
              <a:rPr lang="en-US" i="0" baseline="0"/>
              <a:t> </a:t>
            </a:r>
            <a:r>
              <a:rPr lang="en-US"/>
              <a:t>for Single UD Ply, based on Fiber Volume Fraction</a:t>
            </a:r>
          </a:p>
        </c:rich>
      </c:tx>
      <c:layout>
        <c:manualLayout>
          <c:xMode val="edge"/>
          <c:yMode val="edge"/>
          <c:x val="0.20300035412240136"/>
          <c:y val="4.1235222554979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25314082063116"/>
          <c:y val="0.10211537327554457"/>
          <c:w val="0.82511824146981627"/>
          <c:h val="0.74213263278273389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'Transverse Modulus'!$C$33</c:f>
              <c:strCache>
                <c:ptCount val="1"/>
                <c:pt idx="0">
                  <c:v>E11  ( Rule of Mixtures)
ϕEfL +  (1-ϕ)Em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Modulus'!$C$36:$C$76</c:f>
              <c:numCache>
                <c:formatCode>0</c:formatCode>
                <c:ptCount val="41"/>
                <c:pt idx="0">
                  <c:v>2810</c:v>
                </c:pt>
                <c:pt idx="1">
                  <c:v>5486.5384615384619</c:v>
                </c:pt>
                <c:pt idx="2">
                  <c:v>8163.0769230769238</c:v>
                </c:pt>
                <c:pt idx="3">
                  <c:v>10839.615384615385</c:v>
                </c:pt>
                <c:pt idx="4">
                  <c:v>13516.153846153848</c:v>
                </c:pt>
                <c:pt idx="5">
                  <c:v>16192.692307692309</c:v>
                </c:pt>
                <c:pt idx="6">
                  <c:v>18869.23076923077</c:v>
                </c:pt>
                <c:pt idx="7">
                  <c:v>21545.769230769234</c:v>
                </c:pt>
                <c:pt idx="8">
                  <c:v>24222.307692307695</c:v>
                </c:pt>
                <c:pt idx="9">
                  <c:v>26898.846153846152</c:v>
                </c:pt>
                <c:pt idx="10">
                  <c:v>29575.384615384613</c:v>
                </c:pt>
                <c:pt idx="11">
                  <c:v>32251.923076923074</c:v>
                </c:pt>
                <c:pt idx="12">
                  <c:v>34928.461538461532</c:v>
                </c:pt>
                <c:pt idx="13">
                  <c:v>37604.999999999993</c:v>
                </c:pt>
                <c:pt idx="14">
                  <c:v>40281.538461538454</c:v>
                </c:pt>
                <c:pt idx="15">
                  <c:v>42958.076923076915</c:v>
                </c:pt>
                <c:pt idx="16">
                  <c:v>45634.615384615376</c:v>
                </c:pt>
                <c:pt idx="17">
                  <c:v>48311.153846153829</c:v>
                </c:pt>
                <c:pt idx="18">
                  <c:v>50987.69230769229</c:v>
                </c:pt>
                <c:pt idx="19">
                  <c:v>53664.230769230751</c:v>
                </c:pt>
                <c:pt idx="20">
                  <c:v>56340.769230769212</c:v>
                </c:pt>
                <c:pt idx="21">
                  <c:v>59017.307692307673</c:v>
                </c:pt>
                <c:pt idx="22">
                  <c:v>61693.846153846134</c:v>
                </c:pt>
                <c:pt idx="23">
                  <c:v>64370.384615384595</c:v>
                </c:pt>
                <c:pt idx="24">
                  <c:v>67046.923076923049</c:v>
                </c:pt>
                <c:pt idx="25">
                  <c:v>69723.461538461503</c:v>
                </c:pt>
                <c:pt idx="26">
                  <c:v>72399.999999999971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69-4C26-92F4-9016738189D3}"/>
            </c:ext>
          </c:extLst>
        </c:ser>
        <c:ser>
          <c:idx val="1"/>
          <c:order val="1"/>
          <c:tx>
            <c:strRef>
              <c:f>'Transverse Modulus'!$G$33</c:f>
              <c:strCache>
                <c:ptCount val="1"/>
                <c:pt idx="0">
                  <c:v>E22  (from Rule of Mixtures)
EfLEm / (ϕEm+  (1-ϕ)EfL)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Modulus'!$G$36:$G$76</c:f>
              <c:numCache>
                <c:formatCode>0</c:formatCode>
                <c:ptCount val="41"/>
                <c:pt idx="0">
                  <c:v>2810</c:v>
                </c:pt>
                <c:pt idx="1">
                  <c:v>2917.8700470540207</c:v>
                </c:pt>
                <c:pt idx="2">
                  <c:v>3034.3525200491044</c:v>
                </c:pt>
                <c:pt idx="3">
                  <c:v>3160.5217401695718</c:v>
                </c:pt>
                <c:pt idx="4">
                  <c:v>3297.6384628812248</c:v>
                </c:pt>
                <c:pt idx="5">
                  <c:v>3447.1921535403562</c:v>
                </c:pt>
                <c:pt idx="6">
                  <c:v>3610.9553131357266</c:v>
                </c:pt>
                <c:pt idx="7">
                  <c:v>3791.0540612211257</c:v>
                </c:pt>
                <c:pt idx="8">
                  <c:v>3990.0609498521517</c:v>
                </c:pt>
                <c:pt idx="9">
                  <c:v>4211.1186300344725</c:v>
                </c:pt>
                <c:pt idx="10">
                  <c:v>4458.1070375052668</c:v>
                </c:pt>
                <c:pt idx="11">
                  <c:v>4735.8730784038098</c:v>
                </c:pt>
                <c:pt idx="12">
                  <c:v>5050.551884810754</c:v>
                </c:pt>
                <c:pt idx="13">
                  <c:v>5410.0252625980575</c:v>
                </c:pt>
                <c:pt idx="14">
                  <c:v>5824.5909221045204</c:v>
                </c:pt>
                <c:pt idx="15">
                  <c:v>6307.9649394788603</c:v>
                </c:pt>
                <c:pt idx="16">
                  <c:v>6878.828547648769</c:v>
                </c:pt>
                <c:pt idx="17">
                  <c:v>7563.2983971288404</c:v>
                </c:pt>
                <c:pt idx="18">
                  <c:v>8399.0345835053467</c:v>
                </c:pt>
                <c:pt idx="19">
                  <c:v>9442.4106106856525</c:v>
                </c:pt>
                <c:pt idx="20">
                  <c:v>10781.785568691386</c:v>
                </c:pt>
                <c:pt idx="21">
                  <c:v>12563.93909883374</c:v>
                </c:pt>
                <c:pt idx="22">
                  <c:v>15051.915087359828</c:v>
                </c:pt>
                <c:pt idx="23">
                  <c:v>18768.562608664757</c:v>
                </c:pt>
                <c:pt idx="24">
                  <c:v>24922.465133810696</c:v>
                </c:pt>
                <c:pt idx="25">
                  <c:v>37080.574833508392</c:v>
                </c:pt>
                <c:pt idx="26">
                  <c:v>72399.9999999992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69-4C26-92F4-9016738189D3}"/>
            </c:ext>
          </c:extLst>
        </c:ser>
        <c:ser>
          <c:idx val="2"/>
          <c:order val="2"/>
          <c:tx>
            <c:strRef>
              <c:f>'Transverse Modulus'!$K$33</c:f>
              <c:strCache>
                <c:ptCount val="1"/>
                <c:pt idx="0">
                  <c:v>E22  (Halpin-Tsai)
Em(1 + ℰŋϕ) / (1 - ŋϕ)
ŋ = (EfL/Em - 1) / (EfL/Em+ ℰ)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Modulus'!$K$36:$K$76</c:f>
              <c:numCache>
                <c:formatCode>0</c:formatCode>
                <c:ptCount val="41"/>
                <c:pt idx="0">
                  <c:v>2810</c:v>
                </c:pt>
                <c:pt idx="1">
                  <c:v>3109.471497194897</c:v>
                </c:pt>
                <c:pt idx="2">
                  <c:v>3431.0038426117062</c:v>
                </c:pt>
                <c:pt idx="3">
                  <c:v>3777.1279571369696</c:v>
                </c:pt>
                <c:pt idx="4">
                  <c:v>4150.7773003611101</c:v>
                </c:pt>
                <c:pt idx="5">
                  <c:v>4555.3712133383306</c:v>
                </c:pt>
                <c:pt idx="6">
                  <c:v>4994.9198624439787</c:v>
                </c:pt>
                <c:pt idx="7">
                  <c:v>5474.1576109874868</c:v>
                </c:pt>
                <c:pt idx="8">
                  <c:v>5998.7142274765583</c:v>
                </c:pt>
                <c:pt idx="9">
                  <c:v>6575.3370750458207</c:v>
                </c:pt>
                <c:pt idx="10">
                  <c:v>7212.1829178610551</c:v>
                </c:pt>
                <c:pt idx="11">
                  <c:v>7919.2061946272052</c:v>
                </c:pt>
                <c:pt idx="12">
                  <c:v>8708.6831344684251</c:v>
                </c:pt>
                <c:pt idx="13">
                  <c:v>9595.9305957200668</c:v>
                </c:pt>
                <c:pt idx="14">
                  <c:v>10600.309601047176</c:v>
                </c:pt>
                <c:pt idx="15">
                  <c:v>11746.65441213807</c:v>
                </c:pt>
                <c:pt idx="16">
                  <c:v>13067.353673995707</c:v>
                </c:pt>
                <c:pt idx="17">
                  <c:v>14605.459319447888</c:v>
                </c:pt>
                <c:pt idx="18">
                  <c:v>16419.468488207232</c:v>
                </c:pt>
                <c:pt idx="19">
                  <c:v>18590.932310175402</c:v>
                </c:pt>
                <c:pt idx="20">
                  <c:v>21237.054278175627</c:v>
                </c:pt>
                <c:pt idx="21">
                  <c:v>24532.563962407181</c:v>
                </c:pt>
                <c:pt idx="22">
                  <c:v>28749.947340917264</c:v>
                </c:pt>
                <c:pt idx="23">
                  <c:v>34338.928846827825</c:v>
                </c:pt>
                <c:pt idx="24">
                  <c:v>42098.561223350713</c:v>
                </c:pt>
                <c:pt idx="25">
                  <c:v>53598.144544100665</c:v>
                </c:pt>
                <c:pt idx="26">
                  <c:v>72399.999999999651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69-4C26-92F4-9016738189D3}"/>
            </c:ext>
          </c:extLst>
        </c:ser>
        <c:ser>
          <c:idx val="3"/>
          <c:order val="3"/>
          <c:tx>
            <c:strRef>
              <c:f>'Transverse Modulus'!$O$33</c:f>
              <c:strCache>
                <c:ptCount val="1"/>
                <c:pt idx="0">
                  <c:v>E22  (Brintrup)
ÉmEfL / (EfL(1-ϕ)  +  ϕÉm)
Ém = Em/ (1 - vm2)</c:v>
                </c:pt>
              </c:strCache>
            </c:strRef>
          </c:tx>
          <c:spPr>
            <a:ln w="19050" cap="rnd">
              <a:solidFill>
                <a:schemeClr val="accent4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Modulus'!$O$36:$O$76</c:f>
              <c:numCache>
                <c:formatCode>0</c:formatCode>
                <c:ptCount val="41"/>
                <c:pt idx="0">
                  <c:v>3202.2792022792019</c:v>
                </c:pt>
                <c:pt idx="1">
                  <c:v>3324.4886351137739</c:v>
                </c:pt>
                <c:pt idx="2">
                  <c:v>3456.3959946783898</c:v>
                </c:pt>
                <c:pt idx="3">
                  <c:v>3599.2033439413512</c:v>
                </c:pt>
                <c:pt idx="4">
                  <c:v>3754.3199694518216</c:v>
                </c:pt>
                <c:pt idx="5">
                  <c:v>3923.4090465739155</c:v>
                </c:pt>
                <c:pt idx="6">
                  <c:v>4108.4475098642306</c:v>
                </c:pt>
                <c:pt idx="7">
                  <c:v>4311.8037039059827</c:v>
                </c:pt>
                <c:pt idx="8">
                  <c:v>4536.3392959749162</c:v>
                </c:pt>
                <c:pt idx="9">
                  <c:v>4785.5447803661746</c:v>
                </c:pt>
                <c:pt idx="10">
                  <c:v>5063.7222428575251</c:v>
                </c:pt>
                <c:pt idx="11">
                  <c:v>5376.2358023122842</c:v>
                </c:pt>
                <c:pt idx="12">
                  <c:v>5729.8608899490209</c:v>
                </c:pt>
                <c:pt idx="13">
                  <c:v>6133.2810780663531</c:v>
                </c:pt>
                <c:pt idx="14">
                  <c:v>6597.8106851338116</c:v>
                </c:pt>
                <c:pt idx="15">
                  <c:v>7138.4726670094478</c:v>
                </c:pt>
                <c:pt idx="16">
                  <c:v>7775.6537845267285</c:v>
                </c:pt>
                <c:pt idx="17">
                  <c:v>8537.7330929434102</c:v>
                </c:pt>
                <c:pt idx="18">
                  <c:v>9465.4240660811483</c:v>
                </c:pt>
                <c:pt idx="19">
                  <c:v>10619.292641942386</c:v>
                </c:pt>
                <c:pt idx="20">
                  <c:v>12093.537516061313</c:v>
                </c:pt>
                <c:pt idx="21">
                  <c:v>14043.09930574912</c:v>
                </c:pt>
                <c:pt idx="22">
                  <c:v>16742.030233205853</c:v>
                </c:pt>
                <c:pt idx="23">
                  <c:v>20725.185426078326</c:v>
                </c:pt>
                <c:pt idx="24">
                  <c:v>27195.319328335863</c:v>
                </c:pt>
                <c:pt idx="25">
                  <c:v>39538.828383701526</c:v>
                </c:pt>
                <c:pt idx="26">
                  <c:v>72399.999999999302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F69-4C26-92F4-9016738189D3}"/>
            </c:ext>
          </c:extLst>
        </c:ser>
        <c:ser>
          <c:idx val="4"/>
          <c:order val="4"/>
          <c:tx>
            <c:strRef>
              <c:f>'Transverse Modulus'!$S$33</c:f>
              <c:strCache>
                <c:ptCount val="1"/>
                <c:pt idx="0">
                  <c:v>E22  (DNV)
[ Em / (1-vm2) ] * 
[ (1 + 0.85ϕ2) / [(1-ϕ)1.25 + (ϕEm/ EfT(1-vm2)] ]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Modulus'!$S$36:$S$76</c:f>
              <c:numCache>
                <c:formatCode>0</c:formatCode>
                <c:ptCount val="41"/>
                <c:pt idx="0">
                  <c:v>3202.2792022792019</c:v>
                </c:pt>
                <c:pt idx="1">
                  <c:v>3361.4090673576243</c:v>
                </c:pt>
                <c:pt idx="2">
                  <c:v>3543.7300525246296</c:v>
                </c:pt>
                <c:pt idx="3">
                  <c:v>3752.5574802124679</c:v>
                </c:pt>
                <c:pt idx="4">
                  <c:v>3991.8275467539693</c:v>
                </c:pt>
                <c:pt idx="5">
                  <c:v>4266.2448621563581</c:v>
                </c:pt>
                <c:pt idx="6">
                  <c:v>4581.4732090680518</c:v>
                </c:pt>
                <c:pt idx="7">
                  <c:v>4944.3847927391862</c:v>
                </c:pt>
                <c:pt idx="8">
                  <c:v>5363.3896587005174</c:v>
                </c:pt>
                <c:pt idx="9">
                  <c:v>5848.8765090538027</c:v>
                </c:pt>
                <c:pt idx="10">
                  <c:v>6413.8106498982015</c:v>
                </c:pt>
                <c:pt idx="11">
                  <c:v>7074.5572332539359</c:v>
                </c:pt>
                <c:pt idx="12">
                  <c:v>7852.0333746204706</c:v>
                </c:pt>
                <c:pt idx="13">
                  <c:v>8773.3499253434657</c:v>
                </c:pt>
                <c:pt idx="14">
                  <c:v>9874.1983609868184</c:v>
                </c:pt>
                <c:pt idx="15">
                  <c:v>11202.399288498193</c:v>
                </c:pt>
                <c:pt idx="16">
                  <c:v>12823.311281999015</c:v>
                </c:pt>
                <c:pt idx="17">
                  <c:v>14828.309772792758</c:v>
                </c:pt>
                <c:pt idx="18">
                  <c:v>17348.504807062094</c:v>
                </c:pt>
                <c:pt idx="19">
                  <c:v>20577.737338850584</c:v>
                </c:pt>
                <c:pt idx="20">
                  <c:v>24812.692290489667</c:v>
                </c:pt>
                <c:pt idx="21">
                  <c:v>30525.973580205497</c:v>
                </c:pt>
                <c:pt idx="22">
                  <c:v>38505.240845878492</c:v>
                </c:pt>
                <c:pt idx="23">
                  <c:v>50127.188279349095</c:v>
                </c:pt>
                <c:pt idx="24">
                  <c:v>67883.476047487202</c:v>
                </c:pt>
                <c:pt idx="25">
                  <c:v>96015.460179815753</c:v>
                </c:pt>
                <c:pt idx="26">
                  <c:v>133940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69-4C26-92F4-9016738189D3}"/>
            </c:ext>
          </c:extLst>
        </c:ser>
        <c:ser>
          <c:idx val="5"/>
          <c:order val="5"/>
          <c:tx>
            <c:strRef>
              <c:f>'Transverse Modulus'!$W$33</c:f>
              <c:strCache>
                <c:ptCount val="1"/>
                <c:pt idx="0">
                  <c:v>E22  (Chamis)
Em  / [1 - ϕ0.5(1 - Gm/Gf12)]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'Transverse Modulus'!$B$36:$B$76</c:f>
              <c:numCache>
                <c:formatCode>0.000</c:formatCode>
                <c:ptCount val="41"/>
                <c:pt idx="0">
                  <c:v>0</c:v>
                </c:pt>
                <c:pt idx="1">
                  <c:v>3.8461538461538464E-2</c:v>
                </c:pt>
                <c:pt idx="2">
                  <c:v>7.6923076923076927E-2</c:v>
                </c:pt>
                <c:pt idx="3">
                  <c:v>0.11538461538461539</c:v>
                </c:pt>
                <c:pt idx="4">
                  <c:v>0.15384615384615385</c:v>
                </c:pt>
                <c:pt idx="5">
                  <c:v>0.19230769230769232</c:v>
                </c:pt>
                <c:pt idx="6">
                  <c:v>0.23076923076923078</c:v>
                </c:pt>
                <c:pt idx="7">
                  <c:v>0.26923076923076927</c:v>
                </c:pt>
                <c:pt idx="8">
                  <c:v>0.30769230769230771</c:v>
                </c:pt>
                <c:pt idx="9">
                  <c:v>0.34615384615384615</c:v>
                </c:pt>
                <c:pt idx="10">
                  <c:v>0.38461538461538458</c:v>
                </c:pt>
                <c:pt idx="11">
                  <c:v>0.42307692307692302</c:v>
                </c:pt>
                <c:pt idx="12">
                  <c:v>0.46153846153846145</c:v>
                </c:pt>
                <c:pt idx="13">
                  <c:v>0.49999999999999989</c:v>
                </c:pt>
                <c:pt idx="14">
                  <c:v>0.53846153846153832</c:v>
                </c:pt>
                <c:pt idx="15">
                  <c:v>0.57692307692307676</c:v>
                </c:pt>
                <c:pt idx="16">
                  <c:v>0.6153846153846152</c:v>
                </c:pt>
                <c:pt idx="17">
                  <c:v>0.65384615384615363</c:v>
                </c:pt>
                <c:pt idx="18">
                  <c:v>0.69230769230769207</c:v>
                </c:pt>
                <c:pt idx="19">
                  <c:v>0.7307692307692305</c:v>
                </c:pt>
                <c:pt idx="20">
                  <c:v>0.76923076923076894</c:v>
                </c:pt>
                <c:pt idx="21">
                  <c:v>0.80769230769230738</c:v>
                </c:pt>
                <c:pt idx="22">
                  <c:v>0.84615384615384581</c:v>
                </c:pt>
                <c:pt idx="23">
                  <c:v>0.88461538461538425</c:v>
                </c:pt>
                <c:pt idx="24">
                  <c:v>0.92307692307692268</c:v>
                </c:pt>
                <c:pt idx="25">
                  <c:v>0.96153846153846112</c:v>
                </c:pt>
                <c:pt idx="26">
                  <c:v>0.99999999999999956</c:v>
                </c:pt>
              </c:numCache>
            </c:numRef>
          </c:xVal>
          <c:yVal>
            <c:numRef>
              <c:f>'Transverse Modulus'!$W$36:$W$76</c:f>
              <c:numCache>
                <c:formatCode>0</c:formatCode>
                <c:ptCount val="41"/>
                <c:pt idx="0">
                  <c:v>2810</c:v>
                </c:pt>
                <c:pt idx="1">
                  <c:v>3465.8728453398307</c:v>
                </c:pt>
                <c:pt idx="2">
                  <c:v>3836.8171882109741</c:v>
                </c:pt>
                <c:pt idx="3">
                  <c:v>4180.1096560418118</c:v>
                </c:pt>
                <c:pt idx="4">
                  <c:v>4521.1364028978815</c:v>
                </c:pt>
                <c:pt idx="5">
                  <c:v>4871.2646236814026</c:v>
                </c:pt>
                <c:pt idx="6">
                  <c:v>5237.9943924552463</c:v>
                </c:pt>
                <c:pt idx="7">
                  <c:v>5627.5990565357824</c:v>
                </c:pt>
                <c:pt idx="8">
                  <c:v>6046.1867552749973</c:v>
                </c:pt>
                <c:pt idx="9">
                  <c:v>6500.3001391819316</c:v>
                </c:pt>
                <c:pt idx="10">
                  <c:v>6997.3826408737332</c:v>
                </c:pt>
                <c:pt idx="11">
                  <c:v>7546.2481899442091</c:v>
                </c:pt>
                <c:pt idx="12">
                  <c:v>8157.6407417164992</c:v>
                </c:pt>
                <c:pt idx="13">
                  <c:v>8844.9678072634142</c:v>
                </c:pt>
                <c:pt idx="14">
                  <c:v>9625.3182585531995</c:v>
                </c:pt>
                <c:pt idx="15">
                  <c:v>10520.931664098998</c:v>
                </c:pt>
                <c:pt idx="16">
                  <c:v>11561.392447294253</c:v>
                </c:pt>
                <c:pt idx="17">
                  <c:v>12787.018679670613</c:v>
                </c:pt>
                <c:pt idx="18">
                  <c:v>14254.29179061606</c:v>
                </c:pt>
                <c:pt idx="19">
                  <c:v>16044.930624285833</c:v>
                </c:pt>
                <c:pt idx="20">
                  <c:v>18281.830971908264</c:v>
                </c:pt>
                <c:pt idx="21">
                  <c:v>21158.812395415534</c:v>
                </c:pt>
                <c:pt idx="22">
                  <c:v>25000.487265534524</c:v>
                </c:pt>
                <c:pt idx="23">
                  <c:v>30395.070404212773</c:v>
                </c:pt>
                <c:pt idx="24">
                  <c:v>38530.230845040198</c:v>
                </c:pt>
                <c:pt idx="25">
                  <c:v>52217.976661807894</c:v>
                </c:pt>
                <c:pt idx="26">
                  <c:v>80114.754098360107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F69-4C26-92F4-901673818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153448"/>
        <c:axId val="896152008"/>
      </c:scatterChart>
      <c:valAx>
        <c:axId val="89615344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 sz="1200">
                    <a:latin typeface="+mn-lt"/>
                    <a:cs typeface="Calibri" panose="020F0502020204030204" pitchFamily="34" charset="0"/>
                  </a:rPr>
                  <a:t>ϕ</a:t>
                </a:r>
                <a:r>
                  <a:rPr lang="en-US" sz="1200">
                    <a:latin typeface="+mn-lt"/>
                  </a:rPr>
                  <a:t>, Fiber Volume Fraction  </a:t>
                </a:r>
              </a:p>
            </c:rich>
          </c:tx>
          <c:layout>
            <c:manualLayout>
              <c:xMode val="edge"/>
              <c:yMode val="edge"/>
              <c:x val="0.43018700787401581"/>
              <c:y val="0.890659755396684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6152008"/>
        <c:crosses val="autoZero"/>
        <c:crossBetween val="midCat"/>
      </c:valAx>
      <c:valAx>
        <c:axId val="896152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0" i="1" u="none" strike="noStrike" kern="1200" baseline="0">
                    <a:solidFill>
                      <a:sysClr val="windowText" lastClr="000000"/>
                    </a:solidFill>
                  </a:rPr>
                  <a:t>E</a:t>
                </a:r>
                <a:r>
                  <a:rPr lang="en-US" sz="1200" b="0" i="0" u="none" strike="noStrike" kern="1200" baseline="-25000">
                    <a:solidFill>
                      <a:sysClr val="windowText" lastClr="000000"/>
                    </a:solidFill>
                  </a:rPr>
                  <a:t>11</a:t>
                </a:r>
                <a:r>
                  <a:rPr lang="en-US" sz="1200" b="0" i="0" u="none" strike="noStrike" kern="1200" baseline="0">
                    <a:solidFill>
                      <a:sysClr val="windowText" lastClr="000000"/>
                    </a:solidFill>
                  </a:rPr>
                  <a:t> &amp;  </a:t>
                </a:r>
                <a:r>
                  <a:rPr lang="en-US" sz="1200" b="0" i="1" u="none" strike="noStrike" kern="1200" baseline="0">
                    <a:solidFill>
                      <a:sysClr val="windowText" lastClr="000000"/>
                    </a:solidFill>
                  </a:rPr>
                  <a:t>E</a:t>
                </a:r>
                <a:r>
                  <a:rPr lang="en-US" sz="1200" b="0" i="0" u="none" strike="noStrike" kern="1200" baseline="-25000">
                    <a:solidFill>
                      <a:sysClr val="windowText" lastClr="000000"/>
                    </a:solidFill>
                  </a:rPr>
                  <a:t>22</a:t>
                </a:r>
                <a:r>
                  <a:rPr lang="en-US" sz="1200" b="0" i="0" u="none" strike="noStrike" kern="1200" baseline="0">
                    <a:solidFill>
                      <a:sysClr val="windowText" lastClr="000000"/>
                    </a:solidFill>
                  </a:rPr>
                  <a:t> , </a:t>
                </a:r>
                <a:r>
                  <a:rPr lang="en-US" sz="1200">
                    <a:solidFill>
                      <a:sysClr val="windowText" lastClr="000000"/>
                    </a:solidFill>
                  </a:rPr>
                  <a:t>Longitudinal and Transverse Moduli  (MPa)</a:t>
                </a:r>
              </a:p>
            </c:rich>
          </c:tx>
          <c:layout>
            <c:manualLayout>
              <c:xMode val="edge"/>
              <c:yMode val="edge"/>
              <c:x val="2.095603674540682E-2"/>
              <c:y val="0.217103936196538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6153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6958713494146563E-2"/>
          <c:y val="0.93210814778916606"/>
          <c:w val="0.92029100529100527"/>
          <c:h val="2.68210832103481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chart" Target="../charts/chart2.xml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5" Type="http://schemas.openxmlformats.org/officeDocument/2006/relationships/image" Target="../media/image14.png"/><Relationship Id="rId4" Type="http://schemas.openxmlformats.org/officeDocument/2006/relationships/image" Target="../media/image13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5" Type="http://schemas.openxmlformats.org/officeDocument/2006/relationships/image" Target="../media/image17.png"/><Relationship Id="rId4" Type="http://schemas.openxmlformats.org/officeDocument/2006/relationships/image" Target="../media/image13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25</xdr:row>
      <xdr:rowOff>114300</xdr:rowOff>
    </xdr:from>
    <xdr:to>
      <xdr:col>23</xdr:col>
      <xdr:colOff>355392</xdr:colOff>
      <xdr:row>44</xdr:row>
      <xdr:rowOff>171449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F055D1D3-CA1C-572E-F661-A3AC8B995581}"/>
            </a:ext>
          </a:extLst>
        </xdr:cNvPr>
        <xdr:cNvGrpSpPr>
          <a:grpSpLocks noChangeAspect="1"/>
        </xdr:cNvGrpSpPr>
      </xdr:nvGrpSpPr>
      <xdr:grpSpPr>
        <a:xfrm>
          <a:off x="12001500" y="5114925"/>
          <a:ext cx="4774992" cy="4190999"/>
          <a:chOff x="10916847" y="11420475"/>
          <a:chExt cx="5475678" cy="4117370"/>
        </a:xfrm>
      </xdr:grpSpPr>
      <xdr:pic>
        <xdr:nvPicPr>
          <xdr:cNvPr id="10" name="Picture 9">
            <a:extLst>
              <a:ext uri="{FF2B5EF4-FFF2-40B4-BE49-F238E27FC236}">
                <a16:creationId xmlns:a16="http://schemas.microsoft.com/office/drawing/2014/main" id="{0D637883-ABCA-4559-8DF9-3778C92720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0916847" y="11893060"/>
            <a:ext cx="5470639" cy="3644785"/>
          </a:xfrm>
          <a:prstGeom prst="rect">
            <a:avLst/>
          </a:prstGeom>
        </xdr:spPr>
      </xdr:pic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3FDBF86A-E8F4-C372-E7E5-2B3204C78E4F}"/>
              </a:ext>
            </a:extLst>
          </xdr:cNvPr>
          <xdr:cNvSpPr txBox="1"/>
        </xdr:nvSpPr>
        <xdr:spPr>
          <a:xfrm>
            <a:off x="10972800" y="11420475"/>
            <a:ext cx="5419725" cy="69380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i="0" u="sng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Mechanics of Composite Materials: Past, Present, and Future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 </a:t>
            </a:r>
            <a:r>
              <a:rPr lang="en-US" sz="1200" b="1"/>
              <a:t>by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CC Chamis; NASA Technical Memorandum 100793, 1984, p.23.</a:t>
            </a:r>
            <a:endParaRPr lang="en-US" sz="1200" b="1" i="0"/>
          </a:p>
        </xdr:txBody>
      </xdr:sp>
    </xdr:grpSp>
    <xdr:clientData/>
  </xdr:twoCellAnchor>
  <xdr:twoCellAnchor>
    <xdr:from>
      <xdr:col>23</xdr:col>
      <xdr:colOff>595919</xdr:colOff>
      <xdr:row>2</xdr:row>
      <xdr:rowOff>28574</xdr:rowOff>
    </xdr:from>
    <xdr:to>
      <xdr:col>31</xdr:col>
      <xdr:colOff>400049</xdr:colOff>
      <xdr:row>34</xdr:row>
      <xdr:rowOff>28575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F2B0BCA0-FEBC-A7DA-FF0F-0438CDCAD344}"/>
            </a:ext>
          </a:extLst>
        </xdr:cNvPr>
        <xdr:cNvGrpSpPr>
          <a:grpSpLocks noChangeAspect="1"/>
        </xdr:cNvGrpSpPr>
      </xdr:nvGrpSpPr>
      <xdr:grpSpPr>
        <a:xfrm>
          <a:off x="17017019" y="466724"/>
          <a:ext cx="4128480" cy="6524626"/>
          <a:chOff x="10692205" y="8460108"/>
          <a:chExt cx="5109770" cy="5661559"/>
        </a:xfrm>
      </xdr:grpSpPr>
      <xdr:grpSp>
        <xdr:nvGrpSpPr>
          <xdr:cNvPr id="19" name="Group 18">
            <a:extLst>
              <a:ext uri="{FF2B5EF4-FFF2-40B4-BE49-F238E27FC236}">
                <a16:creationId xmlns:a16="http://schemas.microsoft.com/office/drawing/2014/main" id="{3D8ACCA2-608B-25B1-B297-C0ABC1093DB1}"/>
              </a:ext>
            </a:extLst>
          </xdr:cNvPr>
          <xdr:cNvGrpSpPr>
            <a:grpSpLocks noChangeAspect="1"/>
          </xdr:cNvGrpSpPr>
        </xdr:nvGrpSpPr>
        <xdr:grpSpPr>
          <a:xfrm>
            <a:off x="10692205" y="8873079"/>
            <a:ext cx="5109770" cy="5248588"/>
            <a:chOff x="11433209" y="6655813"/>
            <a:chExt cx="6102316" cy="6268098"/>
          </a:xfrm>
        </xdr:grpSpPr>
        <xdr:pic>
          <xdr:nvPicPr>
            <xdr:cNvPr id="6" name="Picture 5">
              <a:extLst>
                <a:ext uri="{FF2B5EF4-FFF2-40B4-BE49-F238E27FC236}">
                  <a16:creationId xmlns:a16="http://schemas.microsoft.com/office/drawing/2014/main" id="{EB3A2E56-7762-40C1-7699-D76666565F02}"/>
                </a:ext>
              </a:extLst>
            </xdr:cNvPr>
            <xdr:cNvPicPr preferRelativeResize="0">
              <a:picLocks noChangeArrowheads="1"/>
            </xdr:cNvPicPr>
          </xdr:nvPicPr>
          <xdr:blipFill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632" r="5929"/>
            <a:stretch/>
          </xdr:blipFill>
          <xdr:spPr bwMode="auto">
            <a:xfrm>
              <a:off x="11621960" y="6655813"/>
              <a:ext cx="5904917" cy="2647949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pic>
          <xdr:nvPicPr>
            <xdr:cNvPr id="3" name="Picture 2">
              <a:extLst>
                <a:ext uri="{FF2B5EF4-FFF2-40B4-BE49-F238E27FC236}">
                  <a16:creationId xmlns:a16="http://schemas.microsoft.com/office/drawing/2014/main" id="{E5CBAFE6-2896-13A8-1317-EEBD3332B3F9}"/>
                </a:ext>
              </a:extLst>
            </xdr:cNvPr>
            <xdr:cNvPicPr preferRelativeResize="0">
              <a:picLocks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9061"/>
            <a:stretch/>
          </xdr:blipFill>
          <xdr:spPr>
            <a:xfrm>
              <a:off x="11591095" y="9243070"/>
              <a:ext cx="5874715" cy="1147192"/>
            </a:xfrm>
            <a:prstGeom prst="rect">
              <a:avLst/>
            </a:prstGeom>
          </xdr:spPr>
        </xdr:pic>
        <xdr:pic>
          <xdr:nvPicPr>
            <xdr:cNvPr id="7" name="Picture 6">
              <a:extLst>
                <a:ext uri="{FF2B5EF4-FFF2-40B4-BE49-F238E27FC236}">
                  <a16:creationId xmlns:a16="http://schemas.microsoft.com/office/drawing/2014/main" id="{A208EA1C-2752-170B-1A6A-31EEA2279F11}"/>
                </a:ext>
              </a:extLst>
            </xdr:cNvPr>
            <xdr:cNvPicPr preferRelativeResize="0">
              <a:picLocks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643"/>
            <a:stretch/>
          </xdr:blipFill>
          <xdr:spPr>
            <a:xfrm>
              <a:off x="11433209" y="10390261"/>
              <a:ext cx="6102316" cy="2533650"/>
            </a:xfrm>
            <a:prstGeom prst="rect">
              <a:avLst/>
            </a:prstGeom>
          </xdr:spPr>
        </xdr:pic>
      </xdr:grpSp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id="{7830F8CD-1B42-B653-B8A5-A158ACE09583}"/>
              </a:ext>
            </a:extLst>
          </xdr:cNvPr>
          <xdr:cNvSpPr txBox="1"/>
        </xdr:nvSpPr>
        <xdr:spPr>
          <a:xfrm>
            <a:off x="10836797" y="8460108"/>
            <a:ext cx="4898504" cy="43368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lvl="0" algn="l"/>
            <a:r>
              <a:rPr lang="en-US" sz="1200" b="1"/>
              <a:t>from </a:t>
            </a:r>
            <a:r>
              <a:rPr lang="en-US" sz="1200" b="1" u="sng"/>
              <a:t>Modern Aircraft Design: Volume </a:t>
            </a:r>
            <a:r>
              <a:rPr lang="en-US" sz="1200" b="1" u="none"/>
              <a:t>1</a:t>
            </a:r>
            <a:r>
              <a:rPr lang="en-US" sz="1200" b="1" u="none" baseline="0"/>
              <a:t> </a:t>
            </a:r>
            <a:r>
              <a:rPr lang="en-US" sz="1200" b="1" u="none"/>
              <a:t>by</a:t>
            </a:r>
            <a:r>
              <a:rPr lang="en-US" sz="1200" b="1"/>
              <a:t> Martin Hollman; Aircraft Designs Inc., 2'nd Edition,</a:t>
            </a:r>
            <a:r>
              <a:rPr lang="en-US" sz="1200" b="1" baseline="0"/>
              <a:t> </a:t>
            </a:r>
            <a:r>
              <a:rPr lang="en-US" sz="1200" b="1"/>
              <a:t>1991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; pp. 73-74</a:t>
            </a:r>
            <a:endParaRPr lang="en-US" sz="1200" b="1" i="0"/>
          </a:p>
        </xdr:txBody>
      </xdr:sp>
    </xdr:grpSp>
    <xdr:clientData/>
  </xdr:twoCellAnchor>
  <xdr:twoCellAnchor>
    <xdr:from>
      <xdr:col>15</xdr:col>
      <xdr:colOff>0</xdr:colOff>
      <xdr:row>2</xdr:row>
      <xdr:rowOff>27475</xdr:rowOff>
    </xdr:from>
    <xdr:to>
      <xdr:col>23</xdr:col>
      <xdr:colOff>533646</xdr:colOff>
      <xdr:row>24</xdr:row>
      <xdr:rowOff>81147</xdr:rowOff>
    </xdr:to>
    <xdr:grpSp>
      <xdr:nvGrpSpPr>
        <xdr:cNvPr id="32" name="Group 31">
          <a:extLst>
            <a:ext uri="{FF2B5EF4-FFF2-40B4-BE49-F238E27FC236}">
              <a16:creationId xmlns:a16="http://schemas.microsoft.com/office/drawing/2014/main" id="{89F17366-167D-937A-4D3C-981AC9714585}"/>
            </a:ext>
          </a:extLst>
        </xdr:cNvPr>
        <xdr:cNvGrpSpPr>
          <a:grpSpLocks noChangeAspect="1"/>
        </xdr:cNvGrpSpPr>
      </xdr:nvGrpSpPr>
      <xdr:grpSpPr>
        <a:xfrm>
          <a:off x="11906250" y="465625"/>
          <a:ext cx="5048496" cy="4425647"/>
          <a:chOff x="10763250" y="2780201"/>
          <a:chExt cx="5742966" cy="3572974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7485291F-1094-5238-013A-995A17E0493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763250" y="3276600"/>
            <a:ext cx="5742966" cy="30765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0A379F30-8BC8-013D-3F7D-A062C7FD733B}"/>
              </a:ext>
            </a:extLst>
          </xdr:cNvPr>
          <xdr:cNvSpPr txBox="1"/>
        </xdr:nvSpPr>
        <xdr:spPr>
          <a:xfrm>
            <a:off x="10972800" y="2780201"/>
            <a:ext cx="5295900" cy="45829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2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from </a:t>
            </a:r>
            <a:r>
              <a:rPr lang="en-US" sz="1200" b="1" u="sng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Design and Engineering Aspects of Free-standing Masts and Wing Masts</a:t>
            </a:r>
            <a:r>
              <a:rPr lang="en-US" sz="1200" b="1" u="non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200" b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2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by Eric Sponberg; SNAME, 1983; p.74</a:t>
            </a:r>
            <a:endParaRPr lang="en-US" sz="1200" b="1"/>
          </a:p>
        </xdr:txBody>
      </xdr:sp>
    </xdr:grpSp>
    <xdr:clientData/>
  </xdr:twoCellAnchor>
  <xdr:twoCellAnchor>
    <xdr:from>
      <xdr:col>14</xdr:col>
      <xdr:colOff>0</xdr:colOff>
      <xdr:row>57</xdr:row>
      <xdr:rowOff>0</xdr:rowOff>
    </xdr:from>
    <xdr:to>
      <xdr:col>26</xdr:col>
      <xdr:colOff>0</xdr:colOff>
      <xdr:row>93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39C1952-AD45-0AA2-5F3F-90ED761133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77</xdr:row>
      <xdr:rowOff>0</xdr:rowOff>
    </xdr:from>
    <xdr:to>
      <xdr:col>16</xdr:col>
      <xdr:colOff>0</xdr:colOff>
      <xdr:row>122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5CA3F7E-82AA-432E-AF04-C52F45EDDE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676275</xdr:colOff>
      <xdr:row>0</xdr:row>
      <xdr:rowOff>190501</xdr:rowOff>
    </xdr:from>
    <xdr:to>
      <xdr:col>24</xdr:col>
      <xdr:colOff>628650</xdr:colOff>
      <xdr:row>17</xdr:row>
      <xdr:rowOff>95250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885392C6-43D2-4468-A259-149FFCC3F519}"/>
            </a:ext>
          </a:extLst>
        </xdr:cNvPr>
        <xdr:cNvGrpSpPr>
          <a:grpSpLocks noChangeAspect="1"/>
        </xdr:cNvGrpSpPr>
      </xdr:nvGrpSpPr>
      <xdr:grpSpPr>
        <a:xfrm>
          <a:off x="12087225" y="190501"/>
          <a:ext cx="4038600" cy="3295649"/>
          <a:chOff x="10916847" y="11420475"/>
          <a:chExt cx="5475678" cy="4117370"/>
        </a:xfrm>
      </xdr:grpSpPr>
      <xdr:pic>
        <xdr:nvPicPr>
          <xdr:cNvPr id="9" name="Picture 8">
            <a:extLst>
              <a:ext uri="{FF2B5EF4-FFF2-40B4-BE49-F238E27FC236}">
                <a16:creationId xmlns:a16="http://schemas.microsoft.com/office/drawing/2014/main" id="{F46D1D64-CCAA-A30E-084A-0D78EA5B28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916847" y="11893060"/>
            <a:ext cx="5470639" cy="3644785"/>
          </a:xfrm>
          <a:prstGeom prst="rect">
            <a:avLst/>
          </a:prstGeom>
        </xdr:spPr>
      </xdr:pic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3D59B26D-0EC0-9FB4-E505-B5A3A861C40F}"/>
              </a:ext>
            </a:extLst>
          </xdr:cNvPr>
          <xdr:cNvSpPr txBox="1"/>
        </xdr:nvSpPr>
        <xdr:spPr>
          <a:xfrm>
            <a:off x="10972800" y="11420475"/>
            <a:ext cx="5419725" cy="69380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i="0" u="sng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Mechanics of Composite Materials: Past, Present, and Future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 </a:t>
            </a:r>
            <a:r>
              <a:rPr lang="en-US" sz="1200" b="1"/>
              <a:t>by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CC Chamis; NASA Technical Memorandum 100793, 1984, p.23.</a:t>
            </a:r>
            <a:endParaRPr lang="en-US" sz="1200" b="1" i="0"/>
          </a:p>
        </xdr:txBody>
      </xdr:sp>
    </xdr:grpSp>
    <xdr:clientData/>
  </xdr:twoCellAnchor>
  <xdr:twoCellAnchor>
    <xdr:from>
      <xdr:col>26</xdr:col>
      <xdr:colOff>266700</xdr:colOff>
      <xdr:row>32</xdr:row>
      <xdr:rowOff>504825</xdr:rowOff>
    </xdr:from>
    <xdr:to>
      <xdr:col>33</xdr:col>
      <xdr:colOff>571500</xdr:colOff>
      <xdr:row>79</xdr:row>
      <xdr:rowOff>133350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2F08F06C-8C8A-ECE5-3746-BE2FE9FA7E4D}"/>
            </a:ext>
          </a:extLst>
        </xdr:cNvPr>
        <xdr:cNvGrpSpPr/>
      </xdr:nvGrpSpPr>
      <xdr:grpSpPr>
        <a:xfrm>
          <a:off x="17125950" y="6981825"/>
          <a:ext cx="4572000" cy="9391650"/>
          <a:chOff x="17335500" y="7229475"/>
          <a:chExt cx="4182059" cy="9164208"/>
        </a:xfrm>
      </xdr:grpSpPr>
      <xdr:pic>
        <xdr:nvPicPr>
          <xdr:cNvPr id="11" name="Picture 10">
            <a:extLst>
              <a:ext uri="{FF2B5EF4-FFF2-40B4-BE49-F238E27FC236}">
                <a16:creationId xmlns:a16="http://schemas.microsoft.com/office/drawing/2014/main" id="{85EA593D-7B4D-78D0-032B-675131EE44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7335500" y="8096250"/>
            <a:ext cx="4182059" cy="8297433"/>
          </a:xfrm>
          <a:prstGeom prst="rect">
            <a:avLst/>
          </a:prstGeom>
        </xdr:spPr>
      </xdr:pic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3CF6C7CE-CEC0-BDD8-C62E-FDED6E4E17B1}"/>
              </a:ext>
            </a:extLst>
          </xdr:cNvPr>
          <xdr:cNvSpPr txBox="1"/>
        </xdr:nvSpPr>
        <xdr:spPr>
          <a:xfrm>
            <a:off x="17430750" y="7229475"/>
            <a:ext cx="3962400" cy="81914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1" u="sng"/>
              <a:t>Halpin-Tsai Model - an overview| Science Direct Topics</a:t>
            </a:r>
            <a:r>
              <a:rPr lang="en-US" sz="1100" b="1" u="sng" baseline="0"/>
              <a:t> </a:t>
            </a:r>
          </a:p>
          <a:p>
            <a:endParaRPr lang="en-US" sz="1100" b="1" u="sng"/>
          </a:p>
          <a:p>
            <a:r>
              <a:rPr lang="en-US" sz="1100" b="1"/>
              <a:t>https://www.sciencedirect.com/topics/engineering/halpin-tsai-model#chapters-articles</a:t>
            </a:r>
          </a:p>
        </xdr:txBody>
      </xdr:sp>
    </xdr:grpSp>
    <xdr:clientData/>
  </xdr:twoCellAnchor>
  <xdr:twoCellAnchor>
    <xdr:from>
      <xdr:col>18</xdr:col>
      <xdr:colOff>704850</xdr:colOff>
      <xdr:row>17</xdr:row>
      <xdr:rowOff>152400</xdr:rowOff>
    </xdr:from>
    <xdr:to>
      <xdr:col>25</xdr:col>
      <xdr:colOff>28576</xdr:colOff>
      <xdr:row>30</xdr:row>
      <xdr:rowOff>171449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931F5C72-29D6-E339-530B-F69370152666}"/>
            </a:ext>
          </a:extLst>
        </xdr:cNvPr>
        <xdr:cNvGrpSpPr/>
      </xdr:nvGrpSpPr>
      <xdr:grpSpPr>
        <a:xfrm>
          <a:off x="12115800" y="3543300"/>
          <a:ext cx="4324351" cy="2724149"/>
          <a:chOff x="12115800" y="3543300"/>
          <a:chExt cx="4324351" cy="2724149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2FBF5EAD-B413-2BD8-BE91-92F39DB6AD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2115800" y="4000500"/>
            <a:ext cx="4285173" cy="2266949"/>
          </a:xfrm>
          <a:prstGeom prst="rect">
            <a:avLst/>
          </a:prstGeom>
        </xdr:spPr>
      </xdr:pic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5D57932E-A5E9-478A-B3C2-70B2F9D3185E}"/>
              </a:ext>
            </a:extLst>
          </xdr:cNvPr>
          <xdr:cNvSpPr txBox="1"/>
        </xdr:nvSpPr>
        <xdr:spPr>
          <a:xfrm>
            <a:off x="12134851" y="3543300"/>
            <a:ext cx="4305300" cy="46264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from </a:t>
            </a:r>
            <a:r>
              <a:rPr lang="en-US" sz="1100" b="1" u="sng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An Introduction to Composite Materials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by Hull and Clyne; Cambridge University Press, 2'nd Edition,</a:t>
            </a:r>
            <a:r>
              <a:rPr lang="en-US" sz="1100" b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1996. Chpt.4, </a:t>
            </a:r>
            <a:r>
              <a:rPr lang="en-US" sz="1100" b="1" i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p.66</a:t>
            </a:r>
            <a:endParaRPr lang="en-US">
              <a:effectLst/>
            </a:endParaRPr>
          </a:p>
          <a:p>
            <a:endParaRPr lang="en-US" sz="1100"/>
          </a:p>
        </xdr:txBody>
      </xdr:sp>
    </xdr:grpSp>
    <xdr:clientData/>
  </xdr:twoCellAnchor>
  <xdr:twoCellAnchor>
    <xdr:from>
      <xdr:col>26</xdr:col>
      <xdr:colOff>266700</xdr:colOff>
      <xdr:row>1</xdr:row>
      <xdr:rowOff>19050</xdr:rowOff>
    </xdr:from>
    <xdr:to>
      <xdr:col>34</xdr:col>
      <xdr:colOff>409574</xdr:colOff>
      <xdr:row>32</xdr:row>
      <xdr:rowOff>400050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81487369-A630-B859-C21E-C5080A3C6663}"/>
            </a:ext>
          </a:extLst>
        </xdr:cNvPr>
        <xdr:cNvGrpSpPr/>
      </xdr:nvGrpSpPr>
      <xdr:grpSpPr>
        <a:xfrm>
          <a:off x="17125950" y="219075"/>
          <a:ext cx="5019674" cy="6657975"/>
          <a:chOff x="17202150" y="1209675"/>
          <a:chExt cx="5019674" cy="6657975"/>
        </a:xfrm>
      </xdr:grpSpPr>
      <xdr:grpSp>
        <xdr:nvGrpSpPr>
          <xdr:cNvPr id="8" name="Group 7">
            <a:extLst>
              <a:ext uri="{FF2B5EF4-FFF2-40B4-BE49-F238E27FC236}">
                <a16:creationId xmlns:a16="http://schemas.microsoft.com/office/drawing/2014/main" id="{A1BC99F9-78EA-2107-334A-B154FBADAA31}"/>
              </a:ext>
            </a:extLst>
          </xdr:cNvPr>
          <xdr:cNvGrpSpPr/>
        </xdr:nvGrpSpPr>
        <xdr:grpSpPr>
          <a:xfrm>
            <a:off x="17202150" y="1743075"/>
            <a:ext cx="5019674" cy="6124575"/>
            <a:chOff x="17912623" y="200025"/>
            <a:chExt cx="4684015" cy="5371762"/>
          </a:xfrm>
        </xdr:grpSpPr>
        <xdr:pic>
          <xdr:nvPicPr>
            <xdr:cNvPr id="5" name="Picture 4">
              <a:extLst>
                <a:ext uri="{FF2B5EF4-FFF2-40B4-BE49-F238E27FC236}">
                  <a16:creationId xmlns:a16="http://schemas.microsoft.com/office/drawing/2014/main" id="{7ADD27BF-BC74-7552-EC8A-E28AFBCB0D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7916614" y="200025"/>
              <a:ext cx="4578464" cy="3332623"/>
            </a:xfrm>
            <a:prstGeom prst="rect">
              <a:avLst/>
            </a:prstGeom>
            <a:ln>
              <a:noFill/>
            </a:ln>
          </xdr:spPr>
        </xdr:pic>
        <xdr:pic>
          <xdr:nvPicPr>
            <xdr:cNvPr id="7" name="Picture 6">
              <a:extLst>
                <a:ext uri="{FF2B5EF4-FFF2-40B4-BE49-F238E27FC236}">
                  <a16:creationId xmlns:a16="http://schemas.microsoft.com/office/drawing/2014/main" id="{AB3F83A4-08E3-31C1-B610-D95807CE56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7912623" y="3523523"/>
              <a:ext cx="4684015" cy="2048264"/>
            </a:xfrm>
            <a:prstGeom prst="rect">
              <a:avLst/>
            </a:prstGeom>
            <a:ln>
              <a:noFill/>
            </a:ln>
          </xdr:spPr>
        </xdr:pic>
      </xdr:grpSp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AB1EDDDD-EEF6-45DC-BD71-7D770E09F4BC}"/>
              </a:ext>
            </a:extLst>
          </xdr:cNvPr>
          <xdr:cNvSpPr txBox="1"/>
        </xdr:nvSpPr>
        <xdr:spPr>
          <a:xfrm>
            <a:off x="17278350" y="1209675"/>
            <a:ext cx="4819650" cy="514582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u="sng"/>
              <a:t>Engineering Mechanics of Composite Materials </a:t>
            </a:r>
            <a:r>
              <a:rPr lang="en-US" sz="1200" b="1"/>
              <a:t>by Daniel and Ishai; Oxford University Press, 2'nd Edition,</a:t>
            </a:r>
            <a:r>
              <a:rPr lang="en-US" sz="1200" b="1" baseline="0"/>
              <a:t> </a:t>
            </a:r>
            <a:r>
              <a:rPr lang="en-US" sz="1200" b="1"/>
              <a:t>2006. Chapt. 3,</a:t>
            </a:r>
            <a:r>
              <a:rPr lang="en-US" sz="1200" b="1" baseline="0"/>
              <a:t>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p.53</a:t>
            </a:r>
            <a:endParaRPr lang="en-US" sz="1200" b="1" i="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411908</xdr:colOff>
      <xdr:row>57</xdr:row>
      <xdr:rowOff>133349</xdr:rowOff>
    </xdr:from>
    <xdr:to>
      <xdr:col>2</xdr:col>
      <xdr:colOff>3248025</xdr:colOff>
      <xdr:row>76</xdr:row>
      <xdr:rowOff>114914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FC8B5C6A-BD0E-40C7-7296-F247ECCE9171}"/>
            </a:ext>
          </a:extLst>
        </xdr:cNvPr>
        <xdr:cNvGrpSpPr>
          <a:grpSpLocks noChangeAspect="1"/>
        </xdr:cNvGrpSpPr>
      </xdr:nvGrpSpPr>
      <xdr:grpSpPr>
        <a:xfrm>
          <a:off x="411908" y="11658599"/>
          <a:ext cx="5988892" cy="3601065"/>
          <a:chOff x="781050" y="11277600"/>
          <a:chExt cx="5448300" cy="3276012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D857285D-E5C4-4942-B261-27112B97D3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81050" y="11715750"/>
            <a:ext cx="5448300" cy="2837862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2EDD4188-A64A-D467-F4D3-B0DAC09C55ED}"/>
              </a:ext>
            </a:extLst>
          </xdr:cNvPr>
          <xdr:cNvSpPr txBox="1"/>
        </xdr:nvSpPr>
        <xdr:spPr>
          <a:xfrm>
            <a:off x="990600" y="11277600"/>
            <a:ext cx="4991100" cy="4667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u="sng"/>
              <a:t>Mechanics of Composite Materials </a:t>
            </a:r>
            <a:r>
              <a:rPr lang="en-US" sz="1200" b="1"/>
              <a:t>by Autar Kaw; CRC Press, 2'nd Edition,</a:t>
            </a:r>
            <a:r>
              <a:rPr lang="en-US" sz="1200" b="1" baseline="0"/>
              <a:t> </a:t>
            </a:r>
            <a:r>
              <a:rPr lang="en-US" sz="1200" b="1"/>
              <a:t>2005. Chapter 3 (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Micromechanical Analysis of a Lamina), p.208</a:t>
            </a:r>
            <a:endParaRPr lang="en-US" sz="1200" b="1" i="0"/>
          </a:p>
        </xdr:txBody>
      </xdr:sp>
    </xdr:grpSp>
    <xdr:clientData/>
  </xdr:twoCellAnchor>
  <xdr:twoCellAnchor>
    <xdr:from>
      <xdr:col>3</xdr:col>
      <xdr:colOff>38100</xdr:colOff>
      <xdr:row>55</xdr:row>
      <xdr:rowOff>57150</xdr:rowOff>
    </xdr:from>
    <xdr:to>
      <xdr:col>11</xdr:col>
      <xdr:colOff>552450</xdr:colOff>
      <xdr:row>77</xdr:row>
      <xdr:rowOff>47625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63D8FBDB-FA69-6413-B012-30C2202D69A9}"/>
            </a:ext>
          </a:extLst>
        </xdr:cNvPr>
        <xdr:cNvGrpSpPr>
          <a:grpSpLocks noChangeAspect="1"/>
        </xdr:cNvGrpSpPr>
      </xdr:nvGrpSpPr>
      <xdr:grpSpPr>
        <a:xfrm>
          <a:off x="6477000" y="11201400"/>
          <a:ext cx="8572500" cy="4181475"/>
          <a:chOff x="6438900" y="8401050"/>
          <a:chExt cx="7181851" cy="3837381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028CB742-F2CE-4316-B3D2-0F3CDB5A7E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38900" y="8858250"/>
            <a:ext cx="7181851" cy="3380181"/>
          </a:xfrm>
          <a:prstGeom prst="rect">
            <a:avLst/>
          </a:prstGeom>
        </xdr:spPr>
      </xdr:pic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1C116107-3A85-4A75-BD37-1B0FD1DE214A}"/>
              </a:ext>
            </a:extLst>
          </xdr:cNvPr>
          <xdr:cNvSpPr txBox="1"/>
        </xdr:nvSpPr>
        <xdr:spPr>
          <a:xfrm>
            <a:off x="6553200" y="8401050"/>
            <a:ext cx="7010400" cy="47223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u="sng"/>
              <a:t>Engineering Mechanics of Composite Materials </a:t>
            </a:r>
            <a:r>
              <a:rPr lang="en-US" sz="1200" b="1"/>
              <a:t>by Daniel and Ishai; Oxford University Press, 2'nd Edition,</a:t>
            </a:r>
            <a:r>
              <a:rPr lang="en-US" sz="1200" b="1" baseline="0"/>
              <a:t> </a:t>
            </a:r>
            <a:r>
              <a:rPr lang="en-US" sz="1200" b="1"/>
              <a:t>2006. Appendix A (</a:t>
            </a:r>
            <a:r>
              <a:rPr lang="en-US" sz="1200" b="1" i="1"/>
              <a:t>Material Properties</a:t>
            </a:r>
            <a:r>
              <a:rPr lang="en-US" sz="1200" b="1"/>
              <a:t>),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p.375</a:t>
            </a:r>
            <a:endParaRPr lang="en-US" sz="1200" b="1" i="0"/>
          </a:p>
        </xdr:txBody>
      </xdr:sp>
    </xdr:grpSp>
    <xdr:clientData/>
  </xdr:twoCellAnchor>
  <xdr:twoCellAnchor>
    <xdr:from>
      <xdr:col>0</xdr:col>
      <xdr:colOff>561975</xdr:colOff>
      <xdr:row>42</xdr:row>
      <xdr:rowOff>76199</xdr:rowOff>
    </xdr:from>
    <xdr:to>
      <xdr:col>2</xdr:col>
      <xdr:colOff>3190875</xdr:colOff>
      <xdr:row>57</xdr:row>
      <xdr:rowOff>85725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D7AB2B54-5859-5D08-A746-3F01680792FF}"/>
            </a:ext>
          </a:extLst>
        </xdr:cNvPr>
        <xdr:cNvGrpSpPr>
          <a:grpSpLocks noChangeAspect="1"/>
        </xdr:cNvGrpSpPr>
      </xdr:nvGrpSpPr>
      <xdr:grpSpPr>
        <a:xfrm>
          <a:off x="561975" y="8743949"/>
          <a:ext cx="5781675" cy="2867026"/>
          <a:chOff x="561975" y="10039350"/>
          <a:chExt cx="5781675" cy="2472730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81446D47-6556-42C9-808E-407D969124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61975" y="10681733"/>
            <a:ext cx="5781675" cy="1830347"/>
          </a:xfrm>
          <a:prstGeom prst="rect">
            <a:avLst/>
          </a:prstGeom>
        </xdr:spPr>
      </xdr:pic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236EAB7F-1945-4B1A-9D36-A5C81E18C938}"/>
              </a:ext>
            </a:extLst>
          </xdr:cNvPr>
          <xdr:cNvSpPr txBox="1"/>
        </xdr:nvSpPr>
        <xdr:spPr>
          <a:xfrm>
            <a:off x="714375" y="10039350"/>
            <a:ext cx="5419725" cy="62478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i="0" u="sng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Comparative Review Study on Elastic Properties Modeling for Unidirectional Composite Materials </a:t>
            </a:r>
            <a:r>
              <a:rPr lang="en-US" sz="1200" b="1"/>
              <a:t>by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Younes, Hallal, Fardoun and Chehade; InTech Open, 2012. P. 398.</a:t>
            </a:r>
            <a:endParaRPr lang="en-US" sz="1200" b="1" i="0"/>
          </a:p>
        </xdr:txBody>
      </xdr:sp>
    </xdr:grpSp>
    <xdr:clientData/>
  </xdr:twoCellAnchor>
  <xdr:twoCellAnchor>
    <xdr:from>
      <xdr:col>3</xdr:col>
      <xdr:colOff>76200</xdr:colOff>
      <xdr:row>41</xdr:row>
      <xdr:rowOff>142876</xdr:rowOff>
    </xdr:from>
    <xdr:to>
      <xdr:col>8</xdr:col>
      <xdr:colOff>419100</xdr:colOff>
      <xdr:row>55</xdr:row>
      <xdr:rowOff>15226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A25A6E26-C461-4F5D-86AE-8D2506ED1805}"/>
            </a:ext>
          </a:extLst>
        </xdr:cNvPr>
        <xdr:cNvGrpSpPr>
          <a:grpSpLocks noChangeAspect="1"/>
        </xdr:cNvGrpSpPr>
      </xdr:nvGrpSpPr>
      <xdr:grpSpPr>
        <a:xfrm>
          <a:off x="6515100" y="8620126"/>
          <a:ext cx="6667500" cy="2539350"/>
          <a:chOff x="8382000" y="1647825"/>
          <a:chExt cx="7077075" cy="2452586"/>
        </a:xfrm>
      </xdr:grpSpPr>
      <xdr:pic>
        <xdr:nvPicPr>
          <xdr:cNvPr id="15" name="Picture 14">
            <a:extLst>
              <a:ext uri="{FF2B5EF4-FFF2-40B4-BE49-F238E27FC236}">
                <a16:creationId xmlns:a16="http://schemas.microsoft.com/office/drawing/2014/main" id="{CE9081A4-91D3-EB83-6F44-7DD0C91AE5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2000" y="1647825"/>
            <a:ext cx="7077075" cy="2452586"/>
          </a:xfrm>
          <a:prstGeom prst="rect">
            <a:avLst/>
          </a:prstGeom>
        </xdr:spPr>
      </xdr:pic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CDED48F9-1BD5-4268-A5F1-27BCA455DF3E}"/>
              </a:ext>
            </a:extLst>
          </xdr:cNvPr>
          <xdr:cNvSpPr txBox="1"/>
        </xdr:nvSpPr>
        <xdr:spPr>
          <a:xfrm>
            <a:off x="12192000" y="1647825"/>
            <a:ext cx="3086100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2022 DNV-RU-Yacht; Part 3, Chapt. 5, Table 2</a:t>
            </a:r>
          </a:p>
        </xdr:txBody>
      </xdr:sp>
    </xdr:grpSp>
    <xdr:clientData/>
  </xdr:twoCellAnchor>
  <xdr:twoCellAnchor>
    <xdr:from>
      <xdr:col>3</xdr:col>
      <xdr:colOff>38100</xdr:colOff>
      <xdr:row>78</xdr:row>
      <xdr:rowOff>76200</xdr:rowOff>
    </xdr:from>
    <xdr:to>
      <xdr:col>11</xdr:col>
      <xdr:colOff>571500</xdr:colOff>
      <xdr:row>101</xdr:row>
      <xdr:rowOff>85725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9AFAB455-9A7F-6981-7ED0-3786DA4CF74C}"/>
            </a:ext>
          </a:extLst>
        </xdr:cNvPr>
        <xdr:cNvGrpSpPr/>
      </xdr:nvGrpSpPr>
      <xdr:grpSpPr>
        <a:xfrm>
          <a:off x="6477000" y="15601950"/>
          <a:ext cx="8591550" cy="4391025"/>
          <a:chOff x="6438900" y="17068800"/>
          <a:chExt cx="7791450" cy="4429799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984D46D5-B922-AA35-1E39-B0AF0022AD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6438900" y="17554575"/>
            <a:ext cx="7771361" cy="3944024"/>
          </a:xfrm>
          <a:prstGeom prst="rect">
            <a:avLst/>
          </a:prstGeom>
        </xdr:spPr>
      </xdr:pic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FFA73497-8F99-A958-BEF9-7D313CE62B07}"/>
              </a:ext>
            </a:extLst>
          </xdr:cNvPr>
          <xdr:cNvSpPr txBox="1"/>
        </xdr:nvSpPr>
        <xdr:spPr>
          <a:xfrm>
            <a:off x="6496050" y="17068800"/>
            <a:ext cx="7734300" cy="46672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from </a:t>
            </a:r>
            <a:r>
              <a:rPr lang="en-US" sz="1100" b="1" u="sng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An Introduction to Composite Materials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by Hull and Clyne; Cambridge University Press, 2'nd Edition,</a:t>
            </a:r>
            <a:r>
              <a:rPr lang="en-US" sz="1100" b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1996. Chpt.</a:t>
            </a:r>
            <a:r>
              <a:rPr lang="en-US" sz="1100" b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2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en-US" sz="1100" b="1" i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p.11</a:t>
            </a:r>
            <a:endParaRPr lang="en-US">
              <a:effectLst/>
            </a:endParaRPr>
          </a:p>
          <a:p>
            <a:endParaRPr lang="en-US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37</xdr:row>
      <xdr:rowOff>19050</xdr:rowOff>
    </xdr:from>
    <xdr:to>
      <xdr:col>2</xdr:col>
      <xdr:colOff>3255503</xdr:colOff>
      <xdr:row>59</xdr:row>
      <xdr:rowOff>19050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DEA9522-971D-4E43-925F-6D66461EC50E}"/>
            </a:ext>
          </a:extLst>
        </xdr:cNvPr>
        <xdr:cNvGrpSpPr>
          <a:grpSpLocks noChangeAspect="1"/>
        </xdr:cNvGrpSpPr>
      </xdr:nvGrpSpPr>
      <xdr:grpSpPr>
        <a:xfrm>
          <a:off x="381000" y="7953375"/>
          <a:ext cx="6779753" cy="4191000"/>
          <a:chOff x="648984" y="16859250"/>
          <a:chExt cx="5275566" cy="3448035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264AA64F-7384-6C98-4DE3-EE3D5F9CBC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8984" y="17285886"/>
            <a:ext cx="5275566" cy="3021399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C5813633-A631-AD14-83C3-5F3CA5528A3D}"/>
              </a:ext>
            </a:extLst>
          </xdr:cNvPr>
          <xdr:cNvSpPr txBox="1"/>
        </xdr:nvSpPr>
        <xdr:spPr>
          <a:xfrm>
            <a:off x="762000" y="16859250"/>
            <a:ext cx="5050043" cy="415332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u="sng"/>
              <a:t>Mechanics of Composite Materials </a:t>
            </a:r>
            <a:r>
              <a:rPr lang="en-US" sz="1200" b="1"/>
              <a:t>by Autar Kaw; CRC Press, 2'nd Edition,</a:t>
            </a:r>
            <a:r>
              <a:rPr lang="en-US" sz="1200" b="1" baseline="0"/>
              <a:t> </a:t>
            </a:r>
            <a:r>
              <a:rPr lang="en-US" sz="1200" b="1"/>
              <a:t>2005. Chapter 3 (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Micromechanical Analysis of a Lamina), p.208</a:t>
            </a:r>
            <a:endParaRPr lang="en-US" sz="1200" b="1" i="0"/>
          </a:p>
        </xdr:txBody>
      </xdr:sp>
    </xdr:grpSp>
    <xdr:clientData/>
  </xdr:twoCellAnchor>
  <xdr:twoCellAnchor>
    <xdr:from>
      <xdr:col>2</xdr:col>
      <xdr:colOff>3440761</xdr:colOff>
      <xdr:row>51</xdr:row>
      <xdr:rowOff>133350</xdr:rowOff>
    </xdr:from>
    <xdr:to>
      <xdr:col>10</xdr:col>
      <xdr:colOff>257175</xdr:colOff>
      <xdr:row>81</xdr:row>
      <xdr:rowOff>161804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6889EC72-061E-1B71-6963-B0F1DB4B1E79}"/>
            </a:ext>
          </a:extLst>
        </xdr:cNvPr>
        <xdr:cNvGrpSpPr>
          <a:grpSpLocks noChangeAspect="1"/>
        </xdr:cNvGrpSpPr>
      </xdr:nvGrpSpPr>
      <xdr:grpSpPr>
        <a:xfrm>
          <a:off x="7298386" y="10734675"/>
          <a:ext cx="6750989" cy="5743454"/>
          <a:chOff x="5848350" y="3914775"/>
          <a:chExt cx="7200900" cy="5475194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B3D1ADE9-C351-FB1A-9E2E-9C3A39C669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848350" y="4448175"/>
            <a:ext cx="7200900" cy="4941794"/>
          </a:xfrm>
          <a:prstGeom prst="rect">
            <a:avLst/>
          </a:prstGeom>
        </xdr:spPr>
      </xdr:pic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F62E7F0B-21F5-49BE-BD5D-08989953DF38}"/>
              </a:ext>
            </a:extLst>
          </xdr:cNvPr>
          <xdr:cNvSpPr txBox="1"/>
        </xdr:nvSpPr>
        <xdr:spPr>
          <a:xfrm>
            <a:off x="5934075" y="3914775"/>
            <a:ext cx="7010400" cy="47223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u="sng"/>
              <a:t>Engineering Mechanics of Composite Materials </a:t>
            </a:r>
            <a:r>
              <a:rPr lang="en-US" sz="1200" b="1"/>
              <a:t>by Daniel and Ishai; Oxford University Press, 2'nd Edition,</a:t>
            </a:r>
            <a:r>
              <a:rPr lang="en-US" sz="1200" b="1" baseline="0"/>
              <a:t> </a:t>
            </a:r>
            <a:r>
              <a:rPr lang="en-US" sz="1200" b="1"/>
              <a:t>2006. Appendix A (</a:t>
            </a:r>
            <a:r>
              <a:rPr lang="en-US" sz="1200" b="1" i="1"/>
              <a:t>Material Properties</a:t>
            </a:r>
            <a:r>
              <a:rPr lang="en-US" sz="1200" b="1"/>
              <a:t>),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p.376</a:t>
            </a:r>
            <a:endParaRPr lang="en-US" sz="1200" b="1" i="0"/>
          </a:p>
        </xdr:txBody>
      </xdr:sp>
    </xdr:grpSp>
    <xdr:clientData/>
  </xdr:twoCellAnchor>
  <xdr:twoCellAnchor>
    <xdr:from>
      <xdr:col>0</xdr:col>
      <xdr:colOff>381001</xdr:colOff>
      <xdr:row>59</xdr:row>
      <xdr:rowOff>76198</xdr:rowOff>
    </xdr:from>
    <xdr:to>
      <xdr:col>2</xdr:col>
      <xdr:colOff>3369652</xdr:colOff>
      <xdr:row>74</xdr:row>
      <xdr:rowOff>114298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D2FCCAD4-B13B-4E3F-8CB2-CC80AF322325}"/>
            </a:ext>
          </a:extLst>
        </xdr:cNvPr>
        <xdr:cNvGrpSpPr>
          <a:grpSpLocks noChangeAspect="1"/>
        </xdr:cNvGrpSpPr>
      </xdr:nvGrpSpPr>
      <xdr:grpSpPr>
        <a:xfrm>
          <a:off x="381001" y="12201523"/>
          <a:ext cx="6893901" cy="2895600"/>
          <a:chOff x="561975" y="10039350"/>
          <a:chExt cx="5781675" cy="2305859"/>
        </a:xfrm>
      </xdr:grpSpPr>
      <xdr:pic>
        <xdr:nvPicPr>
          <xdr:cNvPr id="11" name="Picture 10">
            <a:extLst>
              <a:ext uri="{FF2B5EF4-FFF2-40B4-BE49-F238E27FC236}">
                <a16:creationId xmlns:a16="http://schemas.microsoft.com/office/drawing/2014/main" id="{29D964AE-17E9-F989-E638-4205BF9AA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61975" y="10463028"/>
            <a:ext cx="5781675" cy="1882181"/>
          </a:xfrm>
          <a:prstGeom prst="rect">
            <a:avLst/>
          </a:prstGeom>
        </xdr:spPr>
      </xdr:pic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3551D305-E35E-4C60-05AD-6C32BF0BFD2C}"/>
              </a:ext>
            </a:extLst>
          </xdr:cNvPr>
          <xdr:cNvSpPr txBox="1"/>
        </xdr:nvSpPr>
        <xdr:spPr>
          <a:xfrm>
            <a:off x="714375" y="10039350"/>
            <a:ext cx="5419725" cy="40200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from </a:t>
            </a:r>
            <a:r>
              <a:rPr lang="en-US" sz="1200" b="1" i="0" u="sng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Comparative Review Study on Elastic Properties Modeling for Unidirectional Composite Materials </a:t>
            </a:r>
            <a:r>
              <a:rPr lang="en-US" sz="1200" b="1"/>
              <a:t>by </a:t>
            </a:r>
            <a:r>
              <a:rPr lang="en-US" sz="12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Younes, Hallal, Fardoun and Chehade; InTech Open, 2012, p. 398</a:t>
            </a:r>
            <a:endParaRPr lang="en-US" sz="1200" b="1" i="0"/>
          </a:p>
        </xdr:txBody>
      </xdr:sp>
    </xdr:grpSp>
    <xdr:clientData/>
  </xdr:twoCellAnchor>
  <xdr:twoCellAnchor>
    <xdr:from>
      <xdr:col>2</xdr:col>
      <xdr:colOff>3467100</xdr:colOff>
      <xdr:row>37</xdr:row>
      <xdr:rowOff>19050</xdr:rowOff>
    </xdr:from>
    <xdr:to>
      <xdr:col>9</xdr:col>
      <xdr:colOff>419809</xdr:colOff>
      <xdr:row>50</xdr:row>
      <xdr:rowOff>152400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593CA9C3-A3A4-4486-ABC0-6B47571F55C2}"/>
            </a:ext>
          </a:extLst>
        </xdr:cNvPr>
        <xdr:cNvGrpSpPr>
          <a:grpSpLocks noChangeAspect="1"/>
        </xdr:cNvGrpSpPr>
      </xdr:nvGrpSpPr>
      <xdr:grpSpPr>
        <a:xfrm>
          <a:off x="7296150" y="7953375"/>
          <a:ext cx="6201484" cy="2609850"/>
          <a:chOff x="8382000" y="1647825"/>
          <a:chExt cx="7077075" cy="2452586"/>
        </a:xfrm>
      </xdr:grpSpPr>
      <xdr:pic>
        <xdr:nvPicPr>
          <xdr:cNvPr id="14" name="Picture 13">
            <a:extLst>
              <a:ext uri="{FF2B5EF4-FFF2-40B4-BE49-F238E27FC236}">
                <a16:creationId xmlns:a16="http://schemas.microsoft.com/office/drawing/2014/main" id="{58B660BB-3A84-8C9E-7A76-876E1C4A30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2000" y="1647825"/>
            <a:ext cx="7077075" cy="2452586"/>
          </a:xfrm>
          <a:prstGeom prst="rect">
            <a:avLst/>
          </a:prstGeom>
        </xdr:spPr>
      </xdr:pic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A651440E-B81D-5628-6EC0-9080D6C77D7A}"/>
              </a:ext>
            </a:extLst>
          </xdr:cNvPr>
          <xdr:cNvSpPr txBox="1"/>
        </xdr:nvSpPr>
        <xdr:spPr>
          <a:xfrm>
            <a:off x="12192000" y="1647825"/>
            <a:ext cx="3086100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1"/>
              <a:t>2022 DNV-RU-Yacht; Part 3, Chapt. 5, Table 2</a:t>
            </a:r>
          </a:p>
        </xdr:txBody>
      </xdr:sp>
    </xdr:grpSp>
    <xdr:clientData/>
  </xdr:twoCellAnchor>
  <xdr:twoCellAnchor>
    <xdr:from>
      <xdr:col>2</xdr:col>
      <xdr:colOff>3400425</xdr:colOff>
      <xdr:row>82</xdr:row>
      <xdr:rowOff>95250</xdr:rowOff>
    </xdr:from>
    <xdr:to>
      <xdr:col>10</xdr:col>
      <xdr:colOff>304800</xdr:colOff>
      <xdr:row>102</xdr:row>
      <xdr:rowOff>114300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7CBB65B6-B82F-726A-6878-48F7C6AEA458}"/>
            </a:ext>
          </a:extLst>
        </xdr:cNvPr>
        <xdr:cNvGrpSpPr/>
      </xdr:nvGrpSpPr>
      <xdr:grpSpPr>
        <a:xfrm>
          <a:off x="7296150" y="16602075"/>
          <a:ext cx="6800850" cy="3829050"/>
          <a:chOff x="6600825" y="13268325"/>
          <a:chExt cx="7008243" cy="3782041"/>
        </a:xfrm>
      </xdr:grpSpPr>
      <xdr:pic>
        <xdr:nvPicPr>
          <xdr:cNvPr id="9" name="Picture 8">
            <a:extLst>
              <a:ext uri="{FF2B5EF4-FFF2-40B4-BE49-F238E27FC236}">
                <a16:creationId xmlns:a16="http://schemas.microsoft.com/office/drawing/2014/main" id="{37516575-F6B5-E3A1-A0B8-C981DEA011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6600825" y="13782675"/>
            <a:ext cx="7008243" cy="3267691"/>
          </a:xfrm>
          <a:prstGeom prst="rect">
            <a:avLst/>
          </a:prstGeom>
        </xdr:spPr>
      </xdr:pic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3697DDDB-753E-1B85-3BEF-706E5A271B26}"/>
              </a:ext>
            </a:extLst>
          </xdr:cNvPr>
          <xdr:cNvSpPr txBox="1"/>
        </xdr:nvSpPr>
        <xdr:spPr>
          <a:xfrm>
            <a:off x="6705600" y="13268325"/>
            <a:ext cx="6800850" cy="4953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from </a:t>
            </a:r>
            <a:r>
              <a:rPr lang="en-US" sz="1100" b="1" u="sng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An Introduction to Composite Materials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by Hull and Clyne; Cambridge University Press, 2'nd Edition,</a:t>
            </a:r>
            <a:r>
              <a:rPr lang="en-US" sz="1100" b="1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1996. Chpt.2 (</a:t>
            </a:r>
            <a:r>
              <a:rPr lang="en-US" sz="1100" b="1" i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Fibers and Matrices</a:t>
            </a:r>
            <a:r>
              <a:rPr lang="en-US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), </a:t>
            </a:r>
            <a:r>
              <a:rPr lang="en-US" sz="1100" b="1" i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p.31</a:t>
            </a:r>
            <a:endParaRPr lang="en-US">
              <a:effectLst/>
            </a:endParaRPr>
          </a:p>
          <a:p>
            <a:endParaRPr lang="en-US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11</xdr:col>
      <xdr:colOff>119776</xdr:colOff>
      <xdr:row>84</xdr:row>
      <xdr:rowOff>76200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BECF1E8-70D8-4FA7-883B-A39BFD10EDDE}"/>
            </a:ext>
          </a:extLst>
        </xdr:cNvPr>
        <xdr:cNvGrpSpPr/>
      </xdr:nvGrpSpPr>
      <xdr:grpSpPr>
        <a:xfrm>
          <a:off x="1219200" y="762000"/>
          <a:ext cx="5606176" cy="15316200"/>
          <a:chOff x="12382500" y="390525"/>
          <a:chExt cx="5606176" cy="12915900"/>
        </a:xfrm>
      </xdr:grpSpPr>
      <xdr:pic>
        <xdr:nvPicPr>
          <xdr:cNvPr id="6" name="Picture 5">
            <a:extLst>
              <a:ext uri="{FF2B5EF4-FFF2-40B4-BE49-F238E27FC236}">
                <a16:creationId xmlns:a16="http://schemas.microsoft.com/office/drawing/2014/main" id="{FC28D734-BB22-77C8-6677-BED3F922EF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324"/>
          <a:stretch/>
        </xdr:blipFill>
        <xdr:spPr>
          <a:xfrm>
            <a:off x="12382500" y="5864694"/>
            <a:ext cx="5606176" cy="7441731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:a16="http://schemas.microsoft.com/office/drawing/2014/main" id="{CE11BB0B-0BAF-5B6F-D01B-4B61F02AD9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34901" y="390525"/>
            <a:ext cx="5369052" cy="54483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6EEE660-090B-4C06-A871-B2DCB6ACABEF}">
  <we:reference id="wa200000018" version="23.3.0.0" store="en-US" storeType="OMEX"/>
  <we:alternateReferences>
    <we:reference id="wa200000018" version="23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PsiNormal</we:customFunctionIds>
        <we:customFunctionIds>PsiBernoulli</we:customFunctionIds>
        <we:customFunctionIds>PsiBeta</we:customFunctionIds>
        <we:customFunctionIds>PsiBetaGen</we:customFunctionIds>
        <we:customFunctionIds>PsiBetaSubj</we:customFunctionIds>
        <we:customFunctionIds>PsiBinomial</we:customFunctionIds>
        <we:customFunctionIds>PsiCauchy</we:customFunctionIds>
        <we:customFunctionIds>PsiChiSquare</we:customFunctionIds>
        <we:customFunctionIds>PsiCumul</we:customFunctionIds>
        <we:customFunctionIds>PsiCumulD</we:customFunctionIds>
        <we:customFunctionIds>PsiDiscrete</we:customFunctionIds>
        <we:customFunctionIds>PsiDisUniform</we:customFunctionIds>
        <we:customFunctionIds>PsiErf</we:customFunctionIds>
        <we:customFunctionIds>PsiErlang</we:customFunctionIds>
        <we:customFunctionIds>PsiExponential</we:customFunctionIds>
        <we:customFunctionIds>PsiGamma</we:customFunctionIds>
        <we:customFunctionIds>PsiGeneral</we:customFunctionIds>
        <we:customFunctionIds>PsiGeometric</we:customFunctionIds>
        <we:customFunctionIds>PsiHistogram</we:customFunctionIds>
        <we:customFunctionIds>PsiHyperGeo</we:customFunctionIds>
        <we:customFunctionIds>PsiIntUniform</we:customFunctionIds>
        <we:customFunctionIds>PsiInvNormal</we:customFunctionIds>
        <we:customFunctionIds>PsiLaplace</we:customFunctionIds>
        <we:customFunctionIds>PsiLogarithmic</we:customFunctionIds>
        <we:customFunctionIds>PsiLogistic</we:customFunctionIds>
        <we:customFunctionIds>PsiLogLogistic</we:customFunctionIds>
        <we:customFunctionIds>PsiLogNormal</we:customFunctionIds>
        <we:customFunctionIds>PsiLogNorm2</we:customFunctionIds>
        <we:customFunctionIds>PsiMaxExtreme</we:customFunctionIds>
        <we:customFunctionIds>PsiMinExtreme</we:customFunctionIds>
        <we:customFunctionIds>PsiMyerson</we:customFunctionIds>
        <we:customFunctionIds>PsiNegBinomial</we:customFunctionIds>
        <we:customFunctionIds>PsiNormalSkew</we:customFunctionIds>
        <we:customFunctionIds>PsiPareto</we:customFunctionIds>
        <we:customFunctionIds>PsiPareto2</we:customFunctionIds>
        <we:customFunctionIds>PsiPearson5</we:customFunctionIds>
        <we:customFunctionIds>PsiPearson6</we:customFunctionIds>
        <we:customFunctionIds>PsiPert</we:customFunctionIds>
        <we:customFunctionIds>PsiPoisson</we:customFunctionIds>
        <we:customFunctionIds>PsiRayleigh</we:customFunctionIds>
        <we:customFunctionIds>PsiStudent</we:customFunctionIds>
        <we:customFunctionIds>PsiTriangular</we:customFunctionIds>
        <we:customFunctionIds>PsiTriangGen</we:customFunctionIds>
        <we:customFunctionIds>PsiUniform</we:customFunctionIds>
        <we:customFunctionIds>PsiWeibull</we:customFunctionIds>
        <we:customFunctionIds>PsiBurr12</we:customFunctionIds>
        <we:customFunctionIds>PsiDagum</we:customFunctionIds>
        <we:customFunctionIds>PsiDblTriang</we:customFunctionIds>
        <we:customFunctionIds>PsiFdist</we:customFunctionIds>
        <we:customFunctionIds>PsiFatigueLife</we:customFunctionIds>
        <we:customFunctionIds>PsiFrechet</we:customFunctionIds>
        <we:customFunctionIds>PsiHypSecant</we:customFunctionIds>
        <we:customFunctionIds>PsiJohnsonSB</we:customFunctionIds>
        <we:customFunctionIds>PsiJohnsonSU</we:customFunctionIds>
        <we:customFunctionIds>PsiKumaraswamy</we:customFunctionIds>
        <we:customFunctionIds>PsiLevy</we:customFunctionIds>
        <we:customFunctionIds>PsiReciprocal</we:customFunctionIds>
        <we:customFunctionIds>PsiVary</we:customFunctionIds>
        <we:customFunctionIds>PsiMVLogNormal</we:customFunctionIds>
        <we:customFunctionIds>PsiMVNormal</we:customFunctionIds>
        <we:customFunctionIds>PsiMVResample</we:customFunctionIds>
        <we:customFunctionIds>PsiMVShuffle</we:customFunctionIds>
        <we:customFunctionIds>PsiMean</we:customFunctionIds>
        <we:customFunctionIds>PsiTheoMean</we:customFunctionIds>
        <we:customFunctionIds>PsiLock</we:customFunctionIds>
        <we:customFunctionIds>PsiName</we:customFunctionIds>
        <we:customFunctionIds>PsiShift</we:customFunctionIds>
        <we:customFunctionIds>PsiSample</we:customFunctionIds>
        <we:customFunctionIds>PsiTruncate</we:customFunctionIds>
        <we:customFunctionIds>PsiSeed</we:customFunctionIds>
        <we:customFunctionIds>PsiSixSigma</we:customFunctionIds>
        <we:customFunctionIds>PsiTSSync</we:customFunctionIds>
        <we:customFunctionIds>PsiConvergence</we:customFunctionIds>
        <we:customFunctionIds>PsiIsDate</we:customFunctionIds>
        <we:customFunctionIds>PsiIsDiscrete</we:customFunctionIds>
        <we:customFunctionIds>PsiLibrary</we:customFunctionIds>
        <we:customFunctionIds>PsiFitInfo</we:customFunctionIds>
        <we:customFunctionIds>PsiOutput</we:customFunctionIds>
        <we:customFunctionIds>PsiInput</we:customFunctionIds>
        <we:customFunctionIds>PsiSimParam</we:customFunctionIds>
        <we:customFunctionIds>PsiSenParam</we:customFunctionIds>
        <we:customFunctionIds>PsiOptParam</we:customFunctionIds>
        <we:customFunctionIds>PsiCalcParam</we:customFunctionIds>
        <we:customFunctionIds>PsiSlurp</we:customFunctionIds>
        <we:customFunctionIds>PsiSip</we:customFunctionIds>
        <we:customFunctionIds>PsiTSSip</we:customFunctionIds>
        <we:customFunctionIds>PsiCorrMatrix</we:customFunctionIds>
        <we:customFunctionIds>PsiCorrDepen</we:customFunctionIds>
        <we:customFunctionIds>PsiCorrIndep</we:customFunctionIds>
        <we:customFunctionIds>PsiFit</we:customFunctionIds>
        <we:customFunctionIds>PsiData</we:customFunctionIds>
        <we:customFunctionIds>PsiKurtosis</we:customFunctionIds>
        <we:customFunctionIds>PsiTheoKurtosis</we:customFunctionIds>
        <we:customFunctionIds>PsiMax</we:customFunctionIds>
        <we:customFunctionIds>PsiTheoMax</we:customFunctionIds>
        <we:customFunctionIds>PsiMin</we:customFunctionIds>
        <we:customFunctionIds>PsiTheoMin</we:customFunctionIds>
        <we:customFunctionIds>PsiMode</we:customFunctionIds>
        <we:customFunctionIds>PsiTheoMode</we:customFunctionIds>
        <we:customFunctionIds>PsiPercentile</we:customFunctionIds>
        <we:customFunctionIds>PsiTheoPercentile</we:customFunctionIds>
        <we:customFunctionIds>PsiPtoX</we:customFunctionIds>
        <we:customFunctionIds>PsiTheoPtoX</we:customFunctionIds>
        <we:customFunctionIds>PsiPercentileD</we:customFunctionIds>
        <we:customFunctionIds>PsiTheoPercentileD</we:customFunctionIds>
        <we:customFunctionIds>PsiQtoX</we:customFunctionIds>
        <we:customFunctionIds>PsiTheoQtoX</we:customFunctionIds>
        <we:customFunctionIds>PsiRange</we:customFunctionIds>
        <we:customFunctionIds>PsiTheoRange</we:customFunctionIds>
        <we:customFunctionIds>PsiSkewness</we:customFunctionIds>
        <we:customFunctionIds>PsiTheoSkewness</we:customFunctionIds>
        <we:customFunctionIds>PsiStdDev</we:customFunctionIds>
        <we:customFunctionIds>PsiTheoStdDev</we:customFunctionIds>
        <we:customFunctionIds>PsiTarget</we:customFunctionIds>
        <we:customFunctionIds>PsiTheoTarget</we:customFunctionIds>
        <we:customFunctionIds>PsiXtoP</we:customFunctionIds>
        <we:customFunctionIds>PsiTheoXtoP</we:customFunctionIds>
        <we:customFunctionIds>PsiTargetD</we:customFunctionIds>
        <we:customFunctionIds>PsiTheoTargetD</we:customFunctionIds>
        <we:customFunctionIds>PsiXtoQ</we:customFunctionIds>
        <we:customFunctionIds>PsiTheoXtoQ</we:customFunctionIds>
        <we:customFunctionIds>PsiTheoXtoY</we:customFunctionIds>
        <we:customFunctionIds>PsiVariance</we:customFunctionIds>
        <we:customFunctionIds>PsiTheoVariance</we:customFunctionIds>
        <we:customFunctionIds>PsiAbsDev</we:customFunctionIds>
        <we:customFunctionIds>PsiCITrials</we:customFunctionIds>
        <we:customFunctionIds>PsiCorrelation</we:customFunctionIds>
        <we:customFunctionIds>PsiFrequency</we:customFunctionIds>
        <we:customFunctionIds>PsiMeanCI</we:customFunctionIds>
        <we:customFunctionIds>PsiMeanCIB</we:customFunctionIds>
        <we:customFunctionIds>PsiSemiDev</we:customFunctionIds>
        <we:customFunctionIds>PsiSemiDev2</we:customFunctionIds>
        <we:customFunctionIds>PsiSemiVar</we:customFunctionIds>
        <we:customFunctionIds>PsiSemiVar2</we:customFunctionIds>
        <we:customFunctionIds>PsiStdDevCI</we:customFunctionIds>
        <we:customFunctionIds>PsiBVaR</we:customFunctionIds>
        <we:customFunctionIds>PsiCVaR</we:customFunctionIds>
        <we:customFunctionIds>PsiCurrentTrial</we:customFunctionIds>
        <we:customFunctionIds>PsiCurrentSim</we:customFunctionIds>
        <we:customFunctionIds>PsiCount</we:customFunctionIds>
        <we:customFunctionIds>PsiSenValue</we:customFunctionIds>
        <we:customFunctionIds>PsiCurrentOpt</we:customFunctionIds>
        <we:customFunctionIds>PsiMedian</we:customFunctionIds>
        <we:customFunctionIds>PsiTheoMedian</we:customFunctionIds>
        <we:customFunctionIds>PsiDim</we:customFunctionIds>
        <we:customFunctionIds>PsiCube</we:customFunctionIds>
        <we:customFunctionIds>PsiReduce</we:customFunctionIds>
        <we:customFunctionIds>PsiJoin</we:customFunctionIds>
        <we:customFunctionIds>PsiOptStatus</we:customFunctionIds>
        <we:customFunctionIds>PsiPivotCube</we:customFunctionIds>
        <we:customFunctionIds>PsiCalcValue</we:customFunctionIds>
        <we:customFunctionIds>PsiOptData</we:customFunctionIds>
        <we:customFunctionIds>PsiParamDim</we:customFunctionIds>
        <we:customFunctionIds>PsiPivotDim</we:customFunctionIds>
        <we:customFunctionIds>PsiCubeOutput</we:customFunctionIds>
        <we:customFunctionIds>PsiDimLock</we:customFunctionIds>
        <we:customFunctionIds>PsiDimActive</we:customFunctionIds>
        <we:customFunctionIds>PsiCubeData</we:customFunctionIds>
        <we:customFunctionIds>PsiSimOutput</we:customFunctionIds>
        <we:customFunctionIds>PsiSimData</we:customFunctionIds>
        <we:customFunctionIds>PsiResample</we:customFunctionIds>
        <we:customFunctionIds>PsiTableCube</we:customFunctionIds>
        <we:customFunctionIds>PsiCompound</we:customFunctionIds>
        <we:customFunctionIds>PsiCopula</we:customFunctionIds>
        <we:customFunctionIds>PsiCopulaStudent</we:customFunctionIds>
        <we:customFunctionIds>PsiCopulaGauss</we:customFunctionIds>
        <we:customFunctionIds>PsiKendallTau</we:customFunctionIds>
        <we:customFunctionIds>PsiSpearmanRho</we:customFunctionIds>
        <we:customFunctionIds>PsiMetalog</we:customFunctionIds>
        <we:customFunctionIds>PsiMetalogSPT</we:customFunctionIds>
        <we:customFunctionIds>PsiMetalogFit</we:customFunctionIds>
        <we:customFunctionIds>PsiDataSrc</we:customFunctionIds>
        <we:customFunctionIds>PsiModelSrc</we:customFunctionIds>
        <we:customFunctionIds>PsiSigmaCP</we:customFunctionIds>
        <we:customFunctionIds>PsiSigmaCPK</we:customFunctionIds>
        <we:customFunctionIds>PsiSigmaCPKLower</we:customFunctionIds>
        <we:customFunctionIds>PsiSigmaCPKUpper</we:customFunctionIds>
        <we:customFunctionIds>PsiSigmaCPM</we:customFunctionIds>
        <we:customFunctionIds>PsiSigmaDefectPPM</we:customFunctionIds>
        <we:customFunctionIds>PsiSigmaDefectShiftPPM</we:customFunctionIds>
        <we:customFunctionIds>PsiSigmaDefectShiftPPMLower</we:customFunctionIds>
        <we:customFunctionIds>PsiSigmaDefectShiftPPMUpper</we:customFunctionIds>
        <we:customFunctionIds>PsiSigmaK</we:customFunctionIds>
        <we:customFunctionIds>PsiSigmaLowerBound</we:customFunctionIds>
        <we:customFunctionIds>PsiSigmaProbDefectShift</we:customFunctionIds>
        <we:customFunctionIds>PsiSigmaProbDefectShiftLower</we:customFunctionIds>
        <we:customFunctionIds>PsiSigmaProbDefectShiftUpper</we:customFunctionIds>
        <we:customFunctionIds>PsiSigmaSigmaLevel</we:customFunctionIds>
        <we:customFunctionIds>PsiSigmaUpperBound</we:customFunctionIds>
        <we:customFunctionIds>PsiSigmaYield</we:customFunctionIds>
        <we:customFunctionIds>PsiSigmaZLower</we:customFunctionIds>
        <we:customFunctionIds>PsiSigmaZMin</we:customFunctionIds>
        <we:customFunctionIds>PsiSigmaZUpper</we:customFunctionIds>
        <we:customFunctionIds>PsiBetaGenAlt</we:customFunctionIds>
        <we:customFunctionIds>PsiCauchyAlt</we:customFunctionIds>
        <we:customFunctionIds>PsiChiSquareAlt</we:customFunctionIds>
        <we:customFunctionIds>PsiErfAlt</we:customFunctionIds>
        <we:customFunctionIds>PsiExponentialAlt</we:customFunctionIds>
        <we:customFunctionIds>PsiGammaAlt</we:customFunctionIds>
        <we:customFunctionIds>PsiInvNormalAlt</we:customFunctionIds>
        <we:customFunctionIds>PsiLaplaceAlt</we:customFunctionIds>
        <we:customFunctionIds>PsiLogisticAlt</we:customFunctionIds>
        <we:customFunctionIds>PsiLogLogisticAlt</we:customFunctionIds>
        <we:customFunctionIds>PsiLogNormalAlt</we:customFunctionIds>
        <we:customFunctionIds>PsiMaxExtremeAlt</we:customFunctionIds>
        <we:customFunctionIds>PsiMinExtremeAlt</we:customFunctionIds>
        <we:customFunctionIds>PsiNormalAlt</we:customFunctionIds>
        <we:customFunctionIds>PsiUniformAlt</we:customFunctionIds>
        <we:customFunctionIds>PsiTriangularAlt</we:customFunctionIds>
        <we:customFunctionIds>PsiParetoAlt</we:customFunctionIds>
        <we:customFunctionIds>PsiPareto2Alt</we:customFunctionIds>
        <we:customFunctionIds>PsiPearson5Alt</we:customFunctionIds>
        <we:customFunctionIds>PsiPearson6Alt</we:customFunctionIds>
        <we:customFunctionIds>PsiPertAlt</we:customFunctionIds>
        <we:customFunctionIds>PsiRayleighAlt</we:customFunctionIds>
        <we:customFunctionIds>PsiStudentAlt</we:customFunctionIds>
        <we:customFunctionIds>PsiWeibullAlt</we:customFunctionIds>
        <we:customFunctionIds>PsiOptValue</we:customFunctionIds>
        <we:customFunctionIds>PsiCoeffVar</we:customFunctionIds>
        <we:customFunctionIds>PsiStdErr</we:customFunctionIds>
        <we:customFunctionIds>PsiExpGain</we:customFunctionIds>
        <we:customFunctionIds>PsiExpGainRatio</we:customFunctionIds>
        <we:customFunctionIds>PsiExpLoss</we:customFunctionIds>
        <we:customFunctionIds>PsiExpLossRatio</we:customFunctionIds>
        <we:customFunctionIds>PsiExpValMargin</we:customFunctionIds>
        <we:customFunctionIds>PsiCertified</we:customFunctionIds>
        <we:customFunctionIds>PsiCensor</we:customFunctionIds>
        <we:customFunctionIds>PsiBaseCase</we:customFunctionIds>
        <we:customFunctionIds>PsiForecastETS</we:customFunctionIds>
        <we:customFunctionIds>PsiForecastLinear</we:customFunctionIds>
        <we:customFunctionIds>DotProduct</we:customFunctionIds>
        <we:customFunctionIds>QuadProduct</we:customFunctionIds>
        <we:customFunctionIds>PsiDecTable</we:customFunctionIds>
        <we:customFunctionIds>PsiBoxFunction</we:customFunctionIds>
        <we:customFunctionIds>PsiBoxIterator</we:customFunctionIds>
        <we:customFunctionIds>PsiInitialValue</we:customFunctionIds>
        <we:customFunctionIds>PsiFinalValue</we:customFunctionIds>
        <we:customFunctionIds>PsiDualValue</we:customFunctionIds>
        <we:customFunctionIds>PsiSlackValue</we:customFunctionIds>
        <we:customFunctionIds>PsiDualUpper</we:customFunctionIds>
        <we:customFunctionIds>PsiDualLower</we:customFunctionIds>
        <we:customFunctionIds>PsiTSIntegrate</we:customFunctionIds>
        <we:customFunctionIds>PsiTransform</we:customFunctionIds>
        <we:customFunctionIds>PsiTSSeasonality</we:customFunctionIds>
        <we:customFunctionIds>PsiTSLen</we:customFunctionIds>
        <we:customFunctionIds>PsiAR1</we:customFunctionIds>
        <we:customFunctionIds>PsiAR2</we:customFunctionIds>
        <we:customFunctionIds>PsiMA1</we:customFunctionIds>
        <we:customFunctionIds>PsiMA2</we:customFunctionIds>
        <we:customFunctionIds>PsiARMA11</we:customFunctionIds>
        <we:customFunctionIds>PsiARCH1</we:customFunctionIds>
        <we:customFunctionIds>PsiGARCH11</we:customFunctionIds>
        <we:customFunctionIds>PsiEGARCH11</we:customFunctionIds>
        <we:customFunctionIds>PsiAPARCH11</we:customFunctionIds>
        <we:customFunctionIds>PsiTargetCI</we:customFunctionIds>
        <we:customFunctionIds>PsiPercentileCI</we:customFunctionIds>
        <we:customFunctionIds>PsiPercentiles</we:customFunctionIds>
        <we:customFunctionIds>PsiModelDesc</we:customFunctionIds>
        <we:customFunctionIds>PsiCorrectCorrmat</we:customFunctionIds>
        <we:customFunctionIds>PsiStatic</we:customFunctionIds>
        <we:customFunctionIds>PsiMakeInput</we:customFunctionIds>
        <we:customFunctionIds>PsiSimulationInfo</we:customFunctionIds>
        <we:customFunctionIds>PsiConverged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1E616-72E9-4E65-88B8-B6DF693A4D84}">
  <sheetPr codeName="Sheet1"/>
  <dimension ref="A1:AC155"/>
  <sheetViews>
    <sheetView tabSelected="1" zoomScaleNormal="100" workbookViewId="0">
      <selection activeCell="A2" sqref="A2"/>
    </sheetView>
  </sheetViews>
  <sheetFormatPr defaultRowHeight="15" x14ac:dyDescent="0.25"/>
  <cols>
    <col min="1" max="1" width="9.7109375" customWidth="1"/>
    <col min="2" max="2" width="12.140625" customWidth="1"/>
    <col min="3" max="3" width="11.7109375" customWidth="1"/>
    <col min="4" max="4" width="6.140625" bestFit="1" customWidth="1"/>
    <col min="5" max="5" width="14.140625" customWidth="1"/>
    <col min="6" max="6" width="6.85546875" bestFit="1" customWidth="1"/>
    <col min="7" max="11" width="11.28515625" customWidth="1"/>
    <col min="12" max="12" width="20.7109375" customWidth="1"/>
    <col min="13" max="13" width="26.7109375" customWidth="1"/>
    <col min="14" max="14" width="3.28515625" customWidth="1"/>
    <col min="15" max="16" width="10.7109375" style="17" customWidth="1"/>
    <col min="17" max="17" width="10.7109375" style="27" customWidth="1"/>
    <col min="18" max="18" width="10.7109375" style="26" customWidth="1"/>
    <col min="19" max="19" width="4.85546875" bestFit="1" customWidth="1"/>
    <col min="20" max="20" width="9.5703125" style="26" bestFit="1" customWidth="1"/>
    <col min="21" max="21" width="4.85546875" style="26" bestFit="1" customWidth="1"/>
    <col min="22" max="22" width="11.42578125" style="26" bestFit="1" customWidth="1"/>
    <col min="23" max="23" width="4.85546875" style="26" bestFit="1" customWidth="1"/>
    <col min="24" max="24" width="11.42578125" style="26" bestFit="1" customWidth="1"/>
    <col min="25" max="25" width="4.85546875" style="26" bestFit="1" customWidth="1"/>
    <col min="26" max="26" width="11.42578125" style="26" bestFit="1" customWidth="1"/>
    <col min="27" max="27" width="4.85546875" style="26" bestFit="1" customWidth="1"/>
    <col min="28" max="28" width="9.140625" style="26"/>
    <col min="29" max="29" width="4.85546875" bestFit="1" customWidth="1"/>
  </cols>
  <sheetData>
    <row r="1" spans="1:28" s="154" customFormat="1" ht="18.75" x14ac:dyDescent="0.3">
      <c r="A1" s="54" t="s">
        <v>296</v>
      </c>
      <c r="B1" s="54"/>
      <c r="C1" s="55"/>
      <c r="D1" s="55"/>
      <c r="O1" s="261"/>
      <c r="P1" s="261"/>
      <c r="Q1" s="264"/>
      <c r="R1" s="265"/>
      <c r="T1" s="265"/>
      <c r="U1" s="265"/>
      <c r="V1" s="265"/>
      <c r="W1" s="265"/>
      <c r="X1" s="265"/>
      <c r="Y1" s="265"/>
      <c r="Z1" s="265"/>
      <c r="AA1" s="265"/>
      <c r="AB1" s="265"/>
    </row>
    <row r="2" spans="1:28" s="154" customFormat="1" ht="15.95" customHeight="1" x14ac:dyDescent="0.3">
      <c r="A2" s="54"/>
      <c r="B2" s="54"/>
      <c r="C2" s="55"/>
      <c r="D2" s="55"/>
      <c r="O2" s="261"/>
      <c r="P2" s="261"/>
      <c r="Q2" s="264"/>
      <c r="R2" s="265"/>
      <c r="T2" s="265"/>
      <c r="U2" s="265"/>
      <c r="V2" s="265"/>
      <c r="W2" s="265"/>
      <c r="X2" s="265"/>
      <c r="Y2" s="265"/>
      <c r="Z2" s="265"/>
      <c r="AA2" s="265"/>
      <c r="AB2" s="265"/>
    </row>
    <row r="3" spans="1:28" s="6" customFormat="1" ht="15.95" customHeight="1" x14ac:dyDescent="0.25">
      <c r="A3" s="40" t="s">
        <v>102</v>
      </c>
      <c r="B3" s="65">
        <v>45500</v>
      </c>
      <c r="C3" s="156"/>
      <c r="D3" s="156"/>
      <c r="O3" s="164"/>
      <c r="P3" s="164"/>
      <c r="Q3" s="165"/>
      <c r="R3" s="166"/>
      <c r="T3" s="166"/>
      <c r="U3" s="166"/>
      <c r="V3" s="166"/>
      <c r="W3" s="166"/>
      <c r="X3" s="166"/>
      <c r="Y3" s="166"/>
      <c r="Z3" s="166"/>
      <c r="AA3" s="166"/>
      <c r="AB3" s="166"/>
    </row>
    <row r="4" spans="1:28" s="6" customFormat="1" ht="15.95" customHeight="1" x14ac:dyDescent="0.25">
      <c r="A4" s="280" t="s">
        <v>300</v>
      </c>
      <c r="B4" s="65"/>
      <c r="C4" s="156"/>
      <c r="D4" s="156"/>
      <c r="O4" s="164"/>
      <c r="P4" s="164"/>
      <c r="Q4" s="165"/>
      <c r="R4" s="166"/>
      <c r="T4" s="166"/>
      <c r="U4" s="166"/>
      <c r="V4" s="166"/>
      <c r="W4" s="166"/>
      <c r="X4" s="166"/>
      <c r="Y4" s="166"/>
      <c r="Z4" s="166"/>
      <c r="AA4" s="166"/>
      <c r="AB4" s="166"/>
    </row>
    <row r="5" spans="1:28" ht="15.95" customHeight="1" x14ac:dyDescent="0.25">
      <c r="A5" s="280"/>
      <c r="C5" s="41"/>
      <c r="D5" s="41"/>
    </row>
    <row r="6" spans="1:28" ht="15.95" customHeight="1" x14ac:dyDescent="0.25">
      <c r="A6" s="40"/>
      <c r="C6" s="290" t="s">
        <v>176</v>
      </c>
      <c r="D6" s="290"/>
      <c r="E6" s="290"/>
    </row>
    <row r="7" spans="1:28" ht="15.95" customHeight="1" x14ac:dyDescent="0.25">
      <c r="A7" s="40"/>
      <c r="B7" s="146" t="s">
        <v>177</v>
      </c>
      <c r="C7" s="281" t="s">
        <v>172</v>
      </c>
      <c r="D7" s="282"/>
      <c r="E7" s="283"/>
    </row>
    <row r="8" spans="1:28" ht="15.95" customHeight="1" x14ac:dyDescent="0.25">
      <c r="A8" s="40"/>
      <c r="B8" s="146" t="s">
        <v>174</v>
      </c>
      <c r="C8" s="284" t="s">
        <v>173</v>
      </c>
      <c r="D8" s="285"/>
      <c r="E8" s="286"/>
    </row>
    <row r="9" spans="1:28" ht="15.95" customHeight="1" x14ac:dyDescent="0.25">
      <c r="B9" s="146" t="s">
        <v>174</v>
      </c>
      <c r="C9" s="287" t="s">
        <v>101</v>
      </c>
      <c r="D9" s="288"/>
      <c r="E9" s="289"/>
    </row>
    <row r="10" spans="1:28" ht="15.95" customHeight="1" x14ac:dyDescent="0.25">
      <c r="A10" s="40"/>
      <c r="B10" s="146" t="s">
        <v>174</v>
      </c>
      <c r="C10" s="295" t="s">
        <v>273</v>
      </c>
      <c r="D10" s="296"/>
      <c r="E10" s="297"/>
      <c r="F10" s="16" t="s">
        <v>302</v>
      </c>
    </row>
    <row r="11" spans="1:28" ht="15.95" customHeight="1" x14ac:dyDescent="0.25">
      <c r="A11" s="40"/>
      <c r="B11" s="146" t="s">
        <v>174</v>
      </c>
      <c r="C11" s="298" t="s">
        <v>274</v>
      </c>
      <c r="D11" s="299"/>
      <c r="E11" s="300"/>
    </row>
    <row r="12" spans="1:28" ht="15.95" customHeight="1" x14ac:dyDescent="0.25">
      <c r="A12" s="40"/>
      <c r="B12" s="146" t="s">
        <v>174</v>
      </c>
      <c r="C12" s="301" t="s">
        <v>275</v>
      </c>
      <c r="D12" s="302"/>
      <c r="E12" s="303"/>
    </row>
    <row r="13" spans="1:28" ht="15.95" customHeight="1" x14ac:dyDescent="0.25">
      <c r="A13" s="40"/>
      <c r="B13" s="34"/>
      <c r="C13" s="144"/>
    </row>
    <row r="14" spans="1:28" ht="15.95" customHeight="1" x14ac:dyDescent="0.25"/>
    <row r="15" spans="1:28" ht="16.5" thickBot="1" x14ac:dyDescent="0.3">
      <c r="B15" s="8" t="s">
        <v>116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28" ht="15.75" x14ac:dyDescent="0.25">
      <c r="B16" s="12"/>
    </row>
    <row r="17" spans="2:26" x14ac:dyDescent="0.25">
      <c r="B17" s="3" t="s">
        <v>103</v>
      </c>
      <c r="C17" s="291" t="s">
        <v>98</v>
      </c>
      <c r="D17" s="292"/>
      <c r="E17" s="292"/>
      <c r="F17" s="292"/>
      <c r="G17" s="292"/>
      <c r="H17" s="293"/>
      <c r="I17" s="141" t="s">
        <v>167</v>
      </c>
      <c r="J17" s="304" t="str">
        <f>INDEX('Fiber Data'!D:D,MATCH(C17,'Fiber Data'!B:B,0))</f>
        <v>MatWeb (Poisson's ratio v12 from AGY)</v>
      </c>
      <c r="K17" s="304"/>
      <c r="L17" s="304"/>
      <c r="M17" s="304"/>
    </row>
    <row r="18" spans="2:26" x14ac:dyDescent="0.25">
      <c r="B18" s="3" t="s">
        <v>71</v>
      </c>
      <c r="C18" s="291" t="s">
        <v>211</v>
      </c>
      <c r="D18" s="292"/>
      <c r="E18" s="292"/>
      <c r="F18" s="292"/>
      <c r="G18" s="292"/>
      <c r="H18" s="293"/>
      <c r="I18" s="141" t="s">
        <v>167</v>
      </c>
      <c r="J18" s="304" t="str">
        <f>INDEX('Matrix Data'!D:D,MATCH(C18,'Matrix Data'!B:B,0))</f>
        <v>MatWeb. Also see Gougeon website</v>
      </c>
      <c r="K18" s="304"/>
      <c r="L18" s="304"/>
      <c r="M18" s="304"/>
    </row>
    <row r="20" spans="2:26" ht="16.5" thickBot="1" x14ac:dyDescent="0.3">
      <c r="B20" s="8" t="s">
        <v>17</v>
      </c>
      <c r="C20" s="8"/>
      <c r="D20" s="8"/>
      <c r="E20" s="14"/>
      <c r="F20" s="14"/>
      <c r="G20" s="14"/>
      <c r="H20" s="14"/>
      <c r="I20" s="14"/>
      <c r="J20" s="14"/>
      <c r="K20" s="14"/>
      <c r="L20" s="14"/>
      <c r="M20" s="14"/>
    </row>
    <row r="21" spans="2:26" x14ac:dyDescent="0.25">
      <c r="C21" s="5" t="s">
        <v>4</v>
      </c>
      <c r="D21" s="6"/>
      <c r="E21" s="5" t="s">
        <v>5</v>
      </c>
    </row>
    <row r="22" spans="2:26" x14ac:dyDescent="0.25">
      <c r="C22" s="15">
        <v>1</v>
      </c>
      <c r="D22" t="s">
        <v>2</v>
      </c>
      <c r="E22" s="15">
        <v>145.03773799999999</v>
      </c>
      <c r="F22" t="s">
        <v>3</v>
      </c>
    </row>
    <row r="23" spans="2:26" ht="16.5" x14ac:dyDescent="0.25">
      <c r="C23" s="15">
        <v>1</v>
      </c>
      <c r="D23" t="s">
        <v>6</v>
      </c>
      <c r="E23" s="15">
        <v>3.6126999999999999E-2</v>
      </c>
      <c r="F23" t="s">
        <v>7</v>
      </c>
    </row>
    <row r="26" spans="2:26" ht="16.5" thickBot="1" x14ac:dyDescent="0.3">
      <c r="B26" s="8" t="s">
        <v>159</v>
      </c>
      <c r="C26" s="8"/>
      <c r="D26" s="8"/>
      <c r="E26" s="8"/>
      <c r="F26" s="8"/>
      <c r="G26" s="8"/>
      <c r="H26" s="8"/>
      <c r="I26" s="8"/>
      <c r="J26" s="8"/>
      <c r="K26" s="8"/>
      <c r="L26" s="14"/>
      <c r="M26" s="14"/>
    </row>
    <row r="27" spans="2:26" x14ac:dyDescent="0.25">
      <c r="C27" s="5" t="s">
        <v>4</v>
      </c>
      <c r="D27" s="5"/>
      <c r="E27" s="5" t="s">
        <v>5</v>
      </c>
    </row>
    <row r="28" spans="2:26" x14ac:dyDescent="0.25">
      <c r="B28" s="3" t="s">
        <v>0</v>
      </c>
      <c r="C28" s="1">
        <v>0.6</v>
      </c>
      <c r="E28" s="7">
        <f>ϕ*100</f>
        <v>60</v>
      </c>
      <c r="F28" t="s">
        <v>25</v>
      </c>
      <c r="G28" s="16" t="s">
        <v>136</v>
      </c>
      <c r="I28" s="17"/>
    </row>
    <row r="29" spans="2:26" ht="18" x14ac:dyDescent="0.35">
      <c r="B29" s="4" t="s">
        <v>12</v>
      </c>
      <c r="C29" s="18">
        <f>INDEX('Fiber Data'!E:E,MATCH(C17,'Fiber Data'!B:B,0))</f>
        <v>2.5700000000000003</v>
      </c>
      <c r="D29" t="s">
        <v>6</v>
      </c>
      <c r="E29" s="19">
        <f>Pf*lbs_in3</f>
        <v>9.2846390000000015E-2</v>
      </c>
      <c r="F29" t="s">
        <v>7</v>
      </c>
      <c r="G29" s="16" t="s">
        <v>29</v>
      </c>
    </row>
    <row r="30" spans="2:26" ht="18" x14ac:dyDescent="0.35">
      <c r="B30" s="4" t="s">
        <v>13</v>
      </c>
      <c r="C30" s="18">
        <f>INDEX('Matrix Data'!E:E,MATCH(C18,'Matrix Data'!B:B,0))</f>
        <v>1.18</v>
      </c>
      <c r="D30" t="s">
        <v>6</v>
      </c>
      <c r="E30" s="20">
        <f>Pm*lbs_in3</f>
        <v>4.2629859999999999E-2</v>
      </c>
      <c r="F30" t="s">
        <v>7</v>
      </c>
      <c r="G30" s="16" t="s">
        <v>10</v>
      </c>
    </row>
    <row r="31" spans="2:26" ht="18" x14ac:dyDescent="0.35">
      <c r="B31" s="3" t="s">
        <v>1</v>
      </c>
      <c r="C31" s="21">
        <f>ϕ*Pf/(ϕ*Pf+(1-ϕ)*Pm)</f>
        <v>0.76564051638530284</v>
      </c>
      <c r="E31" s="7">
        <f>ψ*100</f>
        <v>76.564051638530287</v>
      </c>
      <c r="F31" t="s">
        <v>25</v>
      </c>
      <c r="G31" s="16" t="s">
        <v>135</v>
      </c>
      <c r="K31" t="s">
        <v>148</v>
      </c>
    </row>
    <row r="32" spans="2:26" ht="18" x14ac:dyDescent="0.35">
      <c r="B32" s="4" t="s">
        <v>137</v>
      </c>
      <c r="C32" s="21">
        <f>ϕ*Pf+(1-ϕ)*Pm</f>
        <v>2.0140000000000002</v>
      </c>
      <c r="D32" t="s">
        <v>6</v>
      </c>
      <c r="E32" s="22">
        <f>Pl*lbs_in3</f>
        <v>7.2759778000000011E-2</v>
      </c>
      <c r="F32" t="s">
        <v>7</v>
      </c>
      <c r="G32" s="16" t="s">
        <v>131</v>
      </c>
      <c r="K32" s="2" t="s">
        <v>149</v>
      </c>
      <c r="Z32" s="10"/>
    </row>
    <row r="33" spans="2:15" ht="18" x14ac:dyDescent="0.35">
      <c r="B33" s="4" t="s">
        <v>14</v>
      </c>
      <c r="C33" s="23">
        <f>INDEX('Fiber Data'!S:S,MATCH(C17,'Fiber Data'!B:B,0))*10^3</f>
        <v>72400</v>
      </c>
      <c r="D33" t="s">
        <v>2</v>
      </c>
      <c r="E33" s="24">
        <f>EfL*PSI</f>
        <v>10500732.231199998</v>
      </c>
      <c r="F33" t="s">
        <v>3</v>
      </c>
      <c r="G33" s="16" t="s">
        <v>133</v>
      </c>
      <c r="O33" s="262"/>
    </row>
    <row r="34" spans="2:15" ht="18" x14ac:dyDescent="0.35">
      <c r="B34" s="4" t="s">
        <v>15</v>
      </c>
      <c r="C34" s="23">
        <f>INDEX('Fiber Data'!W:W,MATCH(C17,'Fiber Data'!B:B,0))*10^3</f>
        <v>72400</v>
      </c>
      <c r="D34" t="s">
        <v>2</v>
      </c>
      <c r="E34" s="24">
        <f>EfT*PSI</f>
        <v>10500732.231199998</v>
      </c>
      <c r="F34" t="s">
        <v>3</v>
      </c>
      <c r="G34" s="16" t="s">
        <v>134</v>
      </c>
    </row>
    <row r="35" spans="2:15" ht="18" x14ac:dyDescent="0.35">
      <c r="B35" s="4" t="s">
        <v>16</v>
      </c>
      <c r="C35" s="23">
        <f>INDEX('Matrix Data'!V:V,MATCH(C18,'Matrix Data'!B:B,0))*10^3</f>
        <v>2810</v>
      </c>
      <c r="D35" t="s">
        <v>2</v>
      </c>
      <c r="E35" s="24">
        <f>Em*PSI</f>
        <v>407556.04377999995</v>
      </c>
      <c r="F35" t="s">
        <v>3</v>
      </c>
      <c r="G35" s="16" t="s">
        <v>9</v>
      </c>
      <c r="O35" s="262"/>
    </row>
    <row r="36" spans="2:15" ht="18" x14ac:dyDescent="0.35">
      <c r="B36" s="4" t="s">
        <v>26</v>
      </c>
      <c r="C36" s="18">
        <f>INDEX('Fiber Data'!AA:AA,MATCH(C17,'Fiber Data'!B:B,0))</f>
        <v>0.22</v>
      </c>
      <c r="G36" s="16" t="s">
        <v>105</v>
      </c>
    </row>
    <row r="37" spans="2:15" ht="18" x14ac:dyDescent="0.35">
      <c r="B37" s="4" t="s">
        <v>18</v>
      </c>
      <c r="C37" s="18">
        <f>INDEX('Matrix Data'!AL:AL,MATCH(C18,'Matrix Data'!B:B,0))</f>
        <v>0.35</v>
      </c>
      <c r="G37" s="16" t="s">
        <v>19</v>
      </c>
    </row>
    <row r="38" spans="2:15" ht="18" x14ac:dyDescent="0.35">
      <c r="B38" s="4" t="s">
        <v>24</v>
      </c>
      <c r="C38" s="23">
        <f>INDEX('Fiber Data'!AB:AB,MATCH(C17,'Fiber Data'!B:B,0))*10^3</f>
        <v>29672.131147540989</v>
      </c>
      <c r="D38" t="s">
        <v>2</v>
      </c>
      <c r="E38" s="24">
        <f>Gf_12*PSI</f>
        <v>4303578.7832786888</v>
      </c>
      <c r="F38" t="s">
        <v>3</v>
      </c>
      <c r="G38" s="16" t="s">
        <v>156</v>
      </c>
    </row>
    <row r="39" spans="2:15" ht="18" x14ac:dyDescent="0.35">
      <c r="B39" s="4" t="s">
        <v>20</v>
      </c>
      <c r="C39" s="23">
        <f>Em/(2*(1+vm))</f>
        <v>1040.7407407407406</v>
      </c>
      <c r="D39" t="s">
        <v>2</v>
      </c>
      <c r="E39" s="24">
        <f>Gm*PSI</f>
        <v>150946.68288148145</v>
      </c>
      <c r="F39" t="s">
        <v>3</v>
      </c>
      <c r="G39" s="16" t="s">
        <v>27</v>
      </c>
      <c r="K39" t="s">
        <v>150</v>
      </c>
    </row>
    <row r="41" spans="2:15" x14ac:dyDescent="0.25">
      <c r="B41" s="4"/>
      <c r="G41" s="16"/>
    </row>
    <row r="42" spans="2:15" ht="16.5" thickBot="1" x14ac:dyDescent="0.3">
      <c r="B42" s="8" t="s">
        <v>106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14"/>
    </row>
    <row r="43" spans="2:15" ht="16.5" customHeight="1" x14ac:dyDescent="0.25">
      <c r="C43" s="5" t="s">
        <v>4</v>
      </c>
      <c r="D43" s="5"/>
      <c r="E43" s="5" t="s">
        <v>5</v>
      </c>
    </row>
    <row r="44" spans="2:15" ht="18" x14ac:dyDescent="0.35">
      <c r="B44" s="3" t="s">
        <v>11</v>
      </c>
      <c r="C44" s="23">
        <f>ϕ*EfL+(1-ϕ)*Em</f>
        <v>44564</v>
      </c>
      <c r="D44" t="s">
        <v>2</v>
      </c>
      <c r="E44" s="24">
        <f>E_11*PSI</f>
        <v>6463461.756232</v>
      </c>
      <c r="F44" t="s">
        <v>3</v>
      </c>
      <c r="G44" s="16" t="s">
        <v>107</v>
      </c>
      <c r="K44" t="s">
        <v>152</v>
      </c>
    </row>
    <row r="45" spans="2:15" ht="18" x14ac:dyDescent="0.35">
      <c r="B45" s="3" t="s">
        <v>205</v>
      </c>
      <c r="C45" s="23">
        <f>Em/(1-vm^2)*(1+0.85*ϕ^2)/((1-ϕ)^1.25+(ϕ*(Em/(EfT*(1-vm^2)))))</f>
        <v>12134.684183980389</v>
      </c>
      <c r="D45" t="s">
        <v>2</v>
      </c>
      <c r="E45" s="24">
        <f>E22_DNV*PSI</f>
        <v>1759987.1453888915</v>
      </c>
      <c r="F45" t="s">
        <v>3</v>
      </c>
      <c r="G45" s="16" t="s">
        <v>163</v>
      </c>
      <c r="K45" t="s">
        <v>151</v>
      </c>
    </row>
    <row r="46" spans="2:15" ht="18" x14ac:dyDescent="0.35">
      <c r="B46" s="187" t="s">
        <v>254</v>
      </c>
    </row>
    <row r="47" spans="2:15" ht="18" x14ac:dyDescent="0.35">
      <c r="B47" s="3" t="s">
        <v>160</v>
      </c>
      <c r="C47" s="23">
        <f>INDEX(_xlfn.ANCHORARRAY('Transverse Modulus'!G36),MATCH(ϕ,_xlfn.ANCHORARRAY('Transverse Modulus'!B36)))</f>
        <v>6307.9649394788603</v>
      </c>
      <c r="D47" t="s">
        <v>2</v>
      </c>
      <c r="E47" s="24">
        <f>C47*PSI</f>
        <v>914892.96620532079</v>
      </c>
      <c r="F47" t="s">
        <v>3</v>
      </c>
      <c r="G47" s="16" t="s">
        <v>164</v>
      </c>
    </row>
    <row r="48" spans="2:15" ht="18" x14ac:dyDescent="0.35">
      <c r="B48" s="3" t="s">
        <v>161</v>
      </c>
      <c r="C48" s="23">
        <f>INDEX(_xlfn.ANCHORARRAY('Transverse Modulus'!K36),MATCH(ϕ,_xlfn.ANCHORARRAY('Transverse Modulus'!B36)))</f>
        <v>11746.65441213807</v>
      </c>
      <c r="D48" t="s">
        <v>2</v>
      </c>
      <c r="E48" s="24">
        <f>C48*PSI</f>
        <v>1703708.1850042252</v>
      </c>
      <c r="F48" t="s">
        <v>3</v>
      </c>
      <c r="G48" s="16" t="s">
        <v>165</v>
      </c>
    </row>
    <row r="49" spans="2:13" ht="18" x14ac:dyDescent="0.35">
      <c r="B49" s="3" t="s">
        <v>162</v>
      </c>
      <c r="C49" s="23">
        <f>INDEX(_xlfn.ANCHORARRAY('Transverse Modulus'!O36),MATCH(ϕ,_xlfn.ANCHORARRAY('Transverse Modulus'!B36)))</f>
        <v>7138.4726670094478</v>
      </c>
      <c r="D49" t="s">
        <v>2</v>
      </c>
      <c r="E49" s="24">
        <f>C49*PSI</f>
        <v>1035347.9283978775</v>
      </c>
      <c r="F49" t="s">
        <v>3</v>
      </c>
      <c r="G49" s="16" t="s">
        <v>166</v>
      </c>
    </row>
    <row r="50" spans="2:13" ht="18" x14ac:dyDescent="0.35">
      <c r="B50" s="3" t="s">
        <v>196</v>
      </c>
      <c r="C50" s="23">
        <f>INDEX(_xlfn.ANCHORARRAY('Transverse Modulus'!W36),MATCH(ϕ,_xlfn.ANCHORARRAY('Transverse Modulus'!B36)))</f>
        <v>10520.931664098998</v>
      </c>
      <c r="D50" t="s">
        <v>2</v>
      </c>
      <c r="E50" s="24">
        <f>C50*PSI</f>
        <v>1525932.1302134944</v>
      </c>
      <c r="F50" t="s">
        <v>3</v>
      </c>
      <c r="G50" s="16" t="s">
        <v>197</v>
      </c>
    </row>
    <row r="52" spans="2:13" ht="18" x14ac:dyDescent="0.35">
      <c r="B52" s="3" t="s">
        <v>21</v>
      </c>
      <c r="C52" s="18">
        <f>ϕ*vf_12+(1-ϕ)*vm</f>
        <v>0.27200000000000002</v>
      </c>
      <c r="G52" s="16" t="s">
        <v>108</v>
      </c>
      <c r="K52" t="s">
        <v>280</v>
      </c>
    </row>
    <row r="53" spans="2:13" ht="18" x14ac:dyDescent="0.35">
      <c r="B53" s="3" t="s">
        <v>22</v>
      </c>
      <c r="C53" s="18">
        <f>v_12*(E22_DNV/E_11)</f>
        <v>7.406503226915595E-2</v>
      </c>
      <c r="G53" s="16" t="s">
        <v>109</v>
      </c>
      <c r="K53" t="s">
        <v>281</v>
      </c>
    </row>
    <row r="54" spans="2:13" ht="18" x14ac:dyDescent="0.35">
      <c r="B54" s="3" t="s">
        <v>23</v>
      </c>
      <c r="C54" s="23">
        <f>Gm*(1+0.8*ϕ^0.8)/(((1-ϕ)^1.25)+(Gm/Gf_12)*ϕ)</f>
        <v>4700.0355903050568</v>
      </c>
      <c r="D54" t="s">
        <v>2</v>
      </c>
      <c r="E54" s="24">
        <f>G_12*PSI</f>
        <v>681682.53053734009</v>
      </c>
      <c r="F54" t="s">
        <v>3</v>
      </c>
      <c r="G54" s="16" t="s">
        <v>132</v>
      </c>
      <c r="K54" t="s">
        <v>282</v>
      </c>
    </row>
    <row r="57" spans="2:13" ht="19.5" thickBot="1" x14ac:dyDescent="0.4">
      <c r="B57" s="8" t="s">
        <v>276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14"/>
    </row>
    <row r="58" spans="2:13" x14ac:dyDescent="0.25">
      <c r="C58" s="5" t="s">
        <v>4</v>
      </c>
      <c r="D58" s="5"/>
      <c r="E58" s="5" t="s">
        <v>5</v>
      </c>
    </row>
    <row r="59" spans="2:13" ht="18" x14ac:dyDescent="0.35">
      <c r="B59" s="4" t="s">
        <v>138</v>
      </c>
      <c r="C59" s="23">
        <f>(0.375*E_11)+(0.625*E22_DNV)</f>
        <v>24295.677614987744</v>
      </c>
      <c r="D59" t="s">
        <v>2</v>
      </c>
      <c r="E59" s="24">
        <f>C59*PSI</f>
        <v>3523790.1244550571</v>
      </c>
      <c r="F59" t="s">
        <v>3</v>
      </c>
      <c r="G59" s="16" t="s">
        <v>283</v>
      </c>
    </row>
    <row r="60" spans="2:13" ht="18" x14ac:dyDescent="0.35">
      <c r="B60" s="4" t="s">
        <v>139</v>
      </c>
      <c r="C60" s="136">
        <f>C59/(2*(1+C61))</f>
        <v>9490.4990683545875</v>
      </c>
      <c r="D60" t="s">
        <v>2</v>
      </c>
      <c r="E60" s="24">
        <f>C60*PSI</f>
        <v>1376480.5173652566</v>
      </c>
      <c r="F60" t="s">
        <v>3</v>
      </c>
      <c r="G60" s="16" t="s">
        <v>284</v>
      </c>
    </row>
    <row r="61" spans="2:13" ht="18" x14ac:dyDescent="0.35">
      <c r="B61" s="4" t="s">
        <v>28</v>
      </c>
      <c r="C61" s="143">
        <v>0.28000000000000003</v>
      </c>
      <c r="G61" s="16" t="s">
        <v>158</v>
      </c>
    </row>
    <row r="62" spans="2:13" ht="18" x14ac:dyDescent="0.35">
      <c r="B62" s="4" t="s">
        <v>279</v>
      </c>
      <c r="C62" s="142">
        <f>(ϕ/2)*vf_12+(1-(ϕ/2))*vm</f>
        <v>0.31099999999999994</v>
      </c>
      <c r="G62" s="294" t="s">
        <v>285</v>
      </c>
      <c r="H62" s="294"/>
      <c r="I62" s="294"/>
      <c r="J62" s="294"/>
      <c r="K62" s="294"/>
      <c r="L62" s="294"/>
    </row>
    <row r="64" spans="2:13" ht="16.5" thickBot="1" x14ac:dyDescent="0.3">
      <c r="B64" s="8" t="s">
        <v>277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</row>
    <row r="65" spans="2:13" x14ac:dyDescent="0.25">
      <c r="C65" s="5" t="s">
        <v>4</v>
      </c>
      <c r="D65" s="5"/>
      <c r="E65" s="5" t="s">
        <v>5</v>
      </c>
    </row>
    <row r="66" spans="2:13" ht="18" x14ac:dyDescent="0.35">
      <c r="B66" s="4" t="s">
        <v>138</v>
      </c>
      <c r="C66" s="23">
        <f>(0.375*E_11)+(0.625*C48)</f>
        <v>24053.159007586295</v>
      </c>
      <c r="D66" t="s">
        <v>2</v>
      </c>
      <c r="E66" s="24">
        <f>C66*PSI</f>
        <v>3488615.7742146407</v>
      </c>
      <c r="F66" t="s">
        <v>3</v>
      </c>
      <c r="G66" s="16" t="s">
        <v>206</v>
      </c>
    </row>
    <row r="67" spans="2:13" ht="18" x14ac:dyDescent="0.35">
      <c r="B67" s="4" t="s">
        <v>139</v>
      </c>
      <c r="C67" s="23">
        <f>(0.125*E_11)+(0.25*C48)</f>
        <v>8507.163603034518</v>
      </c>
      <c r="D67" t="s">
        <v>2</v>
      </c>
      <c r="E67" s="24">
        <f>C67*PSI</f>
        <v>1233859.7657800564</v>
      </c>
      <c r="F67" t="s">
        <v>3</v>
      </c>
      <c r="G67" s="16" t="s">
        <v>153</v>
      </c>
    </row>
    <row r="68" spans="2:13" ht="18" x14ac:dyDescent="0.35">
      <c r="B68" s="4" t="s">
        <v>28</v>
      </c>
      <c r="C68" s="18">
        <f>C66/(2*C67)-1</f>
        <v>0.41370027249778629</v>
      </c>
      <c r="G68" s="16" t="s">
        <v>286</v>
      </c>
    </row>
    <row r="70" spans="2:13" ht="16.5" thickBot="1" x14ac:dyDescent="0.3">
      <c r="B70" s="8" t="s">
        <v>278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</row>
    <row r="71" spans="2:13" x14ac:dyDescent="0.25">
      <c r="C71" s="5" t="s">
        <v>4</v>
      </c>
      <c r="D71" s="5"/>
      <c r="E71" s="5" t="s">
        <v>5</v>
      </c>
    </row>
    <row r="72" spans="2:13" ht="18" x14ac:dyDescent="0.35">
      <c r="B72" s="4" t="s">
        <v>138</v>
      </c>
      <c r="C72" s="23">
        <f>EfL*ϕ/PI() + Em*(1-ϕ/PI())</f>
        <v>16100.710987717996</v>
      </c>
      <c r="D72" t="s">
        <v>2</v>
      </c>
      <c r="E72" s="24">
        <f>C72*PSI</f>
        <v>2335210.7018503635</v>
      </c>
      <c r="F72" t="s">
        <v>3</v>
      </c>
      <c r="G72" s="16" t="s">
        <v>154</v>
      </c>
    </row>
    <row r="73" spans="2:13" ht="18" x14ac:dyDescent="0.35">
      <c r="B73" s="4" t="s">
        <v>139</v>
      </c>
      <c r="C73" s="23">
        <f>C72/(2*(1+C74))</f>
        <v>6074.9521823725554</v>
      </c>
      <c r="D73" t="s">
        <v>2</v>
      </c>
      <c r="E73" s="24">
        <f>C73*PSI</f>
        <v>881097.32298947882</v>
      </c>
      <c r="F73" t="s">
        <v>3</v>
      </c>
      <c r="G73" s="16" t="s">
        <v>287</v>
      </c>
    </row>
    <row r="74" spans="2:13" ht="18" x14ac:dyDescent="0.35">
      <c r="B74" s="4" t="s">
        <v>28</v>
      </c>
      <c r="C74" s="18">
        <f>(vf_12*ϕ/PI()) + (vm*(1- ϕ/PI()))</f>
        <v>0.32517182887766427</v>
      </c>
      <c r="G74" s="16" t="s">
        <v>288</v>
      </c>
    </row>
    <row r="77" spans="2:13" ht="16.5" thickBot="1" x14ac:dyDescent="0.3">
      <c r="B77" s="8" t="s">
        <v>113</v>
      </c>
      <c r="C77" s="8"/>
      <c r="D77" s="8"/>
      <c r="E77" s="8"/>
      <c r="F77" s="8"/>
      <c r="G77" s="8"/>
      <c r="H77" s="8"/>
      <c r="I77" s="14"/>
      <c r="J77" s="14"/>
      <c r="K77" s="14"/>
      <c r="L77" s="14"/>
      <c r="M77" s="14"/>
    </row>
    <row r="78" spans="2:13" x14ac:dyDescent="0.25">
      <c r="B78" s="3"/>
      <c r="C78" s="5" t="s">
        <v>4</v>
      </c>
      <c r="D78" s="3"/>
      <c r="E78" s="5" t="s">
        <v>5</v>
      </c>
      <c r="F78" s="3"/>
      <c r="G78" s="3"/>
      <c r="H78" s="3"/>
    </row>
    <row r="79" spans="2:13" ht="18" x14ac:dyDescent="0.35">
      <c r="B79" s="3" t="s">
        <v>110</v>
      </c>
      <c r="C79" s="23">
        <f>E_11/(1-(v_12*v_21))</f>
        <v>45480.230570590895</v>
      </c>
      <c r="D79" t="s">
        <v>2</v>
      </c>
      <c r="E79" s="24">
        <f>Q_11*PSI</f>
        <v>6596349.765676952</v>
      </c>
      <c r="F79" t="s">
        <v>3</v>
      </c>
      <c r="G79" s="16" t="s">
        <v>289</v>
      </c>
    </row>
    <row r="80" spans="2:13" ht="18" x14ac:dyDescent="0.35">
      <c r="B80" s="3" t="s">
        <v>250</v>
      </c>
      <c r="C80" s="23">
        <f>(v_21*E_11) / (1 - (v_12*v_21))</f>
        <v>3368.4947448194675</v>
      </c>
      <c r="D80" t="s">
        <v>2</v>
      </c>
      <c r="E80" s="24">
        <f>Q_12*PSI</f>
        <v>488558.85825350275</v>
      </c>
      <c r="F80" t="s">
        <v>3</v>
      </c>
      <c r="G80" s="16" t="s">
        <v>290</v>
      </c>
    </row>
    <row r="81" spans="2:29" ht="18" x14ac:dyDescent="0.35">
      <c r="B81" s="3" t="s">
        <v>111</v>
      </c>
      <c r="C81" s="23">
        <f>E22_DNV/(1-(v_12*v_21))</f>
        <v>12384.171855953926</v>
      </c>
      <c r="D81" t="s">
        <v>2</v>
      </c>
      <c r="E81" s="24">
        <f>Q_22*PSI</f>
        <v>1796172.2729908191</v>
      </c>
      <c r="F81" t="s">
        <v>3</v>
      </c>
      <c r="G81" s="16" t="s">
        <v>291</v>
      </c>
    </row>
    <row r="82" spans="2:29" ht="18" x14ac:dyDescent="0.35">
      <c r="B82" s="3" t="s">
        <v>112</v>
      </c>
      <c r="C82" s="23">
        <f>G_12</f>
        <v>4700.0355903050568</v>
      </c>
      <c r="D82" t="s">
        <v>2</v>
      </c>
      <c r="E82" s="24">
        <f>Q_33*PSI</f>
        <v>681682.53053734009</v>
      </c>
      <c r="F82" t="s">
        <v>3</v>
      </c>
      <c r="G82" s="189" t="s">
        <v>252</v>
      </c>
    </row>
    <row r="83" spans="2:29" x14ac:dyDescent="0.25">
      <c r="B83" s="3" t="s">
        <v>251</v>
      </c>
      <c r="C83" s="23">
        <f>Q_12</f>
        <v>3368.4947448194675</v>
      </c>
      <c r="D83" t="s">
        <v>2</v>
      </c>
      <c r="E83" s="24">
        <f>Q_21*PSI</f>
        <v>488558.85825350275</v>
      </c>
      <c r="F83" t="s">
        <v>3</v>
      </c>
      <c r="G83" s="189" t="s">
        <v>255</v>
      </c>
    </row>
    <row r="85" spans="2:29" ht="16.5" thickBot="1" x14ac:dyDescent="0.3">
      <c r="B85" s="8" t="s">
        <v>114</v>
      </c>
      <c r="C85" s="8"/>
      <c r="D85" s="8"/>
      <c r="E85" s="8"/>
      <c r="F85" s="14"/>
      <c r="G85" s="14"/>
      <c r="H85" s="14"/>
      <c r="I85" s="14"/>
      <c r="J85" s="14"/>
      <c r="K85" s="14"/>
      <c r="L85" s="14"/>
      <c r="M85" s="14"/>
    </row>
    <row r="86" spans="2:29" x14ac:dyDescent="0.25">
      <c r="B86" s="3"/>
      <c r="C86" s="5" t="s">
        <v>4</v>
      </c>
      <c r="D86" s="3"/>
      <c r="E86" s="5" t="s">
        <v>5</v>
      </c>
    </row>
    <row r="87" spans="2:29" ht="18" x14ac:dyDescent="0.35">
      <c r="B87" s="3" t="s">
        <v>257</v>
      </c>
      <c r="C87" s="23">
        <f>E_CSM/(1-v_CSM^2)</f>
        <v>26362.497412096076</v>
      </c>
      <c r="D87" t="s">
        <v>2</v>
      </c>
      <c r="E87" s="24">
        <f>Q11_CSM*PSI</f>
        <v>3823556.9926812686</v>
      </c>
      <c r="F87" t="s">
        <v>3</v>
      </c>
      <c r="G87" s="16" t="s">
        <v>181</v>
      </c>
    </row>
    <row r="88" spans="2:29" ht="18" x14ac:dyDescent="0.35">
      <c r="B88" s="3" t="s">
        <v>258</v>
      </c>
      <c r="C88" s="23">
        <f>(v_CSM*E_CSM)/(1-v_CSM^2)</f>
        <v>7381.4992753869028</v>
      </c>
      <c r="D88" t="s">
        <v>2</v>
      </c>
      <c r="E88" s="24">
        <f>Q12_CSM*PSI</f>
        <v>1070595.9579507555</v>
      </c>
      <c r="F88" t="s">
        <v>3</v>
      </c>
      <c r="G88" s="16" t="s">
        <v>292</v>
      </c>
    </row>
    <row r="89" spans="2:29" ht="18" x14ac:dyDescent="0.35">
      <c r="B89" s="3" t="s">
        <v>259</v>
      </c>
      <c r="C89" s="23">
        <f>E_CSM/(1-v_CSM^2)</f>
        <v>26362.497412096076</v>
      </c>
      <c r="D89" t="s">
        <v>2</v>
      </c>
      <c r="E89" s="24">
        <f>Q22_CSM*PSI</f>
        <v>3823556.9926812686</v>
      </c>
      <c r="F89" t="s">
        <v>3</v>
      </c>
      <c r="G89" s="16" t="s">
        <v>180</v>
      </c>
    </row>
    <row r="90" spans="2:29" ht="18" x14ac:dyDescent="0.35">
      <c r="B90" s="3" t="s">
        <v>260</v>
      </c>
      <c r="C90" s="23">
        <f>G_CSM</f>
        <v>9490.4990683545875</v>
      </c>
      <c r="D90" t="s">
        <v>2</v>
      </c>
      <c r="E90" s="24">
        <f>Q33_CSM*PSI</f>
        <v>1376480.5173652566</v>
      </c>
      <c r="F90" t="s">
        <v>3</v>
      </c>
      <c r="G90" s="190" t="s">
        <v>253</v>
      </c>
    </row>
    <row r="91" spans="2:29" ht="18" x14ac:dyDescent="0.35">
      <c r="B91" s="3" t="s">
        <v>261</v>
      </c>
      <c r="C91" s="23">
        <f>Q12_CSM</f>
        <v>7381.4992753869028</v>
      </c>
      <c r="D91" t="s">
        <v>2</v>
      </c>
      <c r="E91" s="24">
        <f>C91*PSI</f>
        <v>1070595.9579507555</v>
      </c>
      <c r="F91" t="s">
        <v>3</v>
      </c>
      <c r="G91" s="191" t="s">
        <v>256</v>
      </c>
    </row>
    <row r="93" spans="2:29" ht="16.5" thickBot="1" x14ac:dyDescent="0.3">
      <c r="B93" s="8" t="s">
        <v>182</v>
      </c>
      <c r="C93" s="8"/>
      <c r="D93" s="8"/>
      <c r="E93" s="8"/>
      <c r="F93" s="8"/>
      <c r="G93" s="8"/>
      <c r="H93" s="8"/>
      <c r="I93" s="14"/>
      <c r="J93" s="14"/>
      <c r="K93" s="14"/>
      <c r="L93" s="14"/>
      <c r="M93" s="14"/>
    </row>
    <row r="94" spans="2:29" x14ac:dyDescent="0.25">
      <c r="O94" s="263" t="s">
        <v>191</v>
      </c>
      <c r="P94" s="324"/>
    </row>
    <row r="95" spans="2:29" ht="18" x14ac:dyDescent="0.35">
      <c r="B95" s="167" t="s">
        <v>183</v>
      </c>
      <c r="C95" s="168">
        <v>0</v>
      </c>
      <c r="D95" t="s">
        <v>184</v>
      </c>
      <c r="E95" s="18">
        <f>RADIANS(C95)</f>
        <v>0</v>
      </c>
      <c r="F95" t="s">
        <v>185</v>
      </c>
      <c r="G95" t="s">
        <v>303</v>
      </c>
      <c r="O95" s="29">
        <v>16</v>
      </c>
      <c r="P95" s="266" t="s">
        <v>264</v>
      </c>
      <c r="Q95" s="31" t="s">
        <v>265</v>
      </c>
      <c r="R95" s="5" t="s">
        <v>263</v>
      </c>
      <c r="T95" s="11" t="s">
        <v>187</v>
      </c>
      <c r="V95" s="11" t="s">
        <v>270</v>
      </c>
      <c r="X95" s="11" t="s">
        <v>271</v>
      </c>
      <c r="Z95" s="11" t="s">
        <v>272</v>
      </c>
      <c r="AB95" s="11" t="s">
        <v>262</v>
      </c>
    </row>
    <row r="96" spans="2:29" ht="15.75" thickBot="1" x14ac:dyDescent="0.3">
      <c r="C96" s="5" t="s">
        <v>4</v>
      </c>
      <c r="D96" s="3"/>
      <c r="E96" s="5" t="s">
        <v>5</v>
      </c>
      <c r="O96" s="267" cm="1">
        <f t="array" ref="O96:O112">_xlfn.SEQUENCE(n+1,1,0,1/n)</f>
        <v>0</v>
      </c>
      <c r="P96" s="267" cm="1">
        <f t="array" ref="P96:P112">_xlfn.ANCHORARRAY(O96)*90</f>
        <v>0</v>
      </c>
      <c r="Q96" s="175" cm="1">
        <f t="array" ref="Q96:Q112">RADIANS(_xlfn.ANCHORARRAY(P96))</f>
        <v>0</v>
      </c>
      <c r="R96" s="176" cm="1">
        <f t="array" ref="R96:R112">(Q_11*COS(_xlfn.ANCHORARRAY(Q96))^4)+2*(Q_12+2*Q_33)*SIN(_xlfn.ANCHORARRAY(Q96))^2*COS(_xlfn.ANCHORARRAY(Q96))^2+Q_22*SIN(_xlfn.ANCHORARRAY(Q96))^4</f>
        <v>45480.230570590895</v>
      </c>
      <c r="S96" s="14" t="s">
        <v>2</v>
      </c>
      <c r="T96" s="176" cm="1">
        <f t="array" ref="T96:T112">(Q_11*SIN(_xlfn.ANCHORARRAY(Q96))^4)+2*(Q_12+2*Q_33)*SIN(_xlfn.ANCHORARRAY(Q96))^2*COS(_xlfn.ANCHORARRAY(Q96))^2+Q_22*COS(_xlfn.ANCHORARRAY(Q96))^4</f>
        <v>12384.171855953926</v>
      </c>
      <c r="U96" s="178" t="s">
        <v>2</v>
      </c>
      <c r="V96" s="176" cm="1">
        <f t="array" ref="V96:V112">(Q_22-Q_12-2*Q_33)*COS(_xlfn.ANCHORARRAY(Q96))^3*SIN(_xlfn.ANCHORARRAY(Q96))-(Q_11-Q_12-2*Q_33)*COS(_xlfn.ANCHORARRAY(Q96))*SIN(_xlfn.ANCHORARRAY(Q96))^3</f>
        <v>0</v>
      </c>
      <c r="W96" s="178" t="s">
        <v>2</v>
      </c>
      <c r="X96" s="176" cm="1">
        <f t="array" ref="X96:X112">(Q_22-Q_12-2*Q_33)*COS(_xlfn.ANCHORARRAY(Q96))*SIN(_xlfn.ANCHORARRAY(Q96))^3-(Q_11-Q_12-2*Q_33)*COS(_xlfn.ANCHORARRAY(Q96))^3*SIN(_xlfn.ANCHORARRAY(Q96))</f>
        <v>0</v>
      </c>
      <c r="Y96" s="178" t="s">
        <v>2</v>
      </c>
      <c r="Z96" s="176" cm="1">
        <f t="array" ref="Z96:Z112">(Q_11+Q_22-4*Q_33)*SIN(_xlfn.ANCHORARRAY(Q96))^2*COS(_xlfn.ANCHORARRAY(Q96))^2+Q_12*(SIN(_xlfn.ANCHORARRAY(Q96))^4+COS(_xlfn.ANCHORARRAY(Q96))^4)</f>
        <v>3368.4947448194675</v>
      </c>
      <c r="AA96" s="178" t="s">
        <v>2</v>
      </c>
      <c r="AB96" s="176" cm="1">
        <f t="array" ref="AB96:AB112">(Q_11+Q_22-2*Q_12-2*Q_33)*SIN(_xlfn.ANCHORARRAY(Q96))^2*COS(_xlfn.ANCHORARRAY(Q96))^2+Q_33*(SIN(_xlfn.ANCHORARRAY(Q96))^4+COS(_xlfn.ANCHORARRAY(Q96))^4)</f>
        <v>4700.0355903050568</v>
      </c>
      <c r="AC96" s="14" t="s">
        <v>2</v>
      </c>
    </row>
    <row r="97" spans="2:29" ht="16.5" x14ac:dyDescent="0.25">
      <c r="B97" s="6" t="s">
        <v>186</v>
      </c>
      <c r="C97" s="23">
        <f>(Q_11*COS(ϴ)^4)+2*(Q_12+2*Q_33)*SIN(ϴ)^2*COS(ϴ)^2+Q_22*SIN(ϴ)^4</f>
        <v>45480.230570590895</v>
      </c>
      <c r="D97" t="s">
        <v>2</v>
      </c>
      <c r="E97" s="24">
        <f t="shared" ref="E97:E102" si="0">C97*PSI</f>
        <v>6596349.765676952</v>
      </c>
      <c r="F97" t="s">
        <v>3</v>
      </c>
      <c r="G97" t="s">
        <v>293</v>
      </c>
      <c r="O97" s="268">
        <v>6.25E-2</v>
      </c>
      <c r="P97" s="269">
        <v>5.625</v>
      </c>
      <c r="Q97" s="270">
        <v>9.8174770424681035E-2</v>
      </c>
      <c r="R97" s="180">
        <v>44854.668958004004</v>
      </c>
      <c r="S97" s="182"/>
      <c r="T97" s="180">
        <v>12394.541731327001</v>
      </c>
      <c r="U97" s="180"/>
      <c r="V97" s="180">
        <v>-67.791330163508661</v>
      </c>
      <c r="W97" s="180"/>
      <c r="X97" s="180">
        <v>-3160.569045888099</v>
      </c>
      <c r="Y97" s="180"/>
      <c r="Z97" s="180">
        <v>3676.0906134263832</v>
      </c>
      <c r="AA97" s="180"/>
      <c r="AB97" s="180">
        <v>5007.6314589119729</v>
      </c>
      <c r="AC97" s="271"/>
    </row>
    <row r="98" spans="2:29" ht="16.5" x14ac:dyDescent="0.25">
      <c r="B98" s="6" t="s">
        <v>187</v>
      </c>
      <c r="C98" s="23">
        <f>(Q_11*SIN(ϴ)^4)+2*(Q_12+2*Q_33)*SIN(ϴ)^2*COS(ϴ)^2+Q_22*COS(ϴ)^4</f>
        <v>12384.171855953926</v>
      </c>
      <c r="D98" t="s">
        <v>2</v>
      </c>
      <c r="E98" s="24">
        <f t="shared" si="0"/>
        <v>1796172.2729908191</v>
      </c>
      <c r="F98" t="s">
        <v>3</v>
      </c>
      <c r="G98" t="s">
        <v>267</v>
      </c>
      <c r="O98" s="272">
        <v>0.125</v>
      </c>
      <c r="P98" s="17">
        <v>11.25</v>
      </c>
      <c r="Q98" s="27">
        <v>0.19634954084936207</v>
      </c>
      <c r="R98" s="26">
        <v>43037.032048099107</v>
      </c>
      <c r="T98" s="26">
        <v>12460.260794854212</v>
      </c>
      <c r="V98" s="26">
        <v>-308.97430650349463</v>
      </c>
      <c r="X98" s="26">
        <v>-6023.6823668334127</v>
      </c>
      <c r="Z98" s="26">
        <v>4552.0495366152145</v>
      </c>
      <c r="AB98" s="26">
        <v>5883.5903821008042</v>
      </c>
      <c r="AC98" s="273"/>
    </row>
    <row r="99" spans="2:29" ht="16.5" x14ac:dyDescent="0.25">
      <c r="B99" s="6" t="s">
        <v>188</v>
      </c>
      <c r="C99" s="23">
        <f>(Q_22-Q_12-2*Q_33)*COS(ϴ)^3*SIN(ϴ)-(Q_11-Q_12-2*Q_33)*COS(ϴ)*SIN(ϴ)^3</f>
        <v>0</v>
      </c>
      <c r="D99" t="s">
        <v>2</v>
      </c>
      <c r="E99" s="24">
        <f t="shared" si="0"/>
        <v>0</v>
      </c>
      <c r="F99" t="s">
        <v>3</v>
      </c>
      <c r="G99" t="s">
        <v>268</v>
      </c>
      <c r="O99" s="272">
        <v>0.1875</v>
      </c>
      <c r="P99" s="17">
        <v>16.875</v>
      </c>
      <c r="Q99" s="27">
        <v>0.2945243112740431</v>
      </c>
      <c r="R99" s="26">
        <v>40196.864803274737</v>
      </c>
      <c r="T99" s="26">
        <v>12678.49769507326</v>
      </c>
      <c r="V99" s="26">
        <v>-863.48330967653112</v>
      </c>
      <c r="X99" s="26">
        <v>-8330.1092163841149</v>
      </c>
      <c r="Z99" s="26">
        <v>5863.014708917879</v>
      </c>
      <c r="AB99" s="26">
        <v>7194.5555544034687</v>
      </c>
      <c r="AC99" s="273"/>
    </row>
    <row r="100" spans="2:29" ht="16.5" x14ac:dyDescent="0.25">
      <c r="B100" s="6" t="s">
        <v>189</v>
      </c>
      <c r="C100" s="23">
        <f>(Q_22-Q_12-2*Q_33)*COS(ϴ)*SIN(ϴ)^3-(Q_11-Q_12-2*Q_33)*COS(ϴ)^3*SIN(ϴ)</f>
        <v>0</v>
      </c>
      <c r="D100" t="s">
        <v>2</v>
      </c>
      <c r="E100" s="24">
        <f t="shared" si="0"/>
        <v>0</v>
      </c>
      <c r="F100" t="s">
        <v>3</v>
      </c>
      <c r="G100" t="s">
        <v>269</v>
      </c>
      <c r="O100" s="272">
        <v>0.25</v>
      </c>
      <c r="P100" s="17">
        <v>22.5</v>
      </c>
      <c r="Q100" s="27">
        <v>0.39269908169872414</v>
      </c>
      <c r="R100" s="26">
        <v>36592.516165145666</v>
      </c>
      <c r="T100" s="26">
        <v>13190.068617477737</v>
      </c>
      <c r="V100" s="26">
        <v>-1809.7030649562757</v>
      </c>
      <c r="X100" s="26">
        <v>-9891.5207088776915</v>
      </c>
      <c r="Z100" s="26">
        <v>7409.4035667801754</v>
      </c>
      <c r="AB100" s="26">
        <v>8740.9444122657642</v>
      </c>
      <c r="AC100" s="273"/>
    </row>
    <row r="101" spans="2:29" ht="16.5" x14ac:dyDescent="0.25">
      <c r="B101" s="6" t="s">
        <v>192</v>
      </c>
      <c r="C101" s="23">
        <f>(Q_11+Q_22-4*Q_33)*SIN(ϴ)^2*COS(ϴ)^2+Q_12*(SIN(ϴ)^4+COS(ϴ)^4)</f>
        <v>3368.4947448194675</v>
      </c>
      <c r="D101" t="s">
        <v>2</v>
      </c>
      <c r="E101" s="24">
        <f t="shared" si="0"/>
        <v>488558.85825350275</v>
      </c>
      <c r="F101" t="s">
        <v>3</v>
      </c>
      <c r="G101" t="s">
        <v>294</v>
      </c>
      <c r="O101" s="272">
        <v>0.3125</v>
      </c>
      <c r="P101" s="17">
        <v>28.125</v>
      </c>
      <c r="Q101" s="27">
        <v>0.49087385212340517</v>
      </c>
      <c r="R101" s="26">
        <v>32538.496059510064</v>
      </c>
      <c r="T101" s="26">
        <v>14151.311007388762</v>
      </c>
      <c r="V101" s="26">
        <v>-3146.2788236965757</v>
      </c>
      <c r="X101" s="26">
        <v>-10612.904730404163</v>
      </c>
      <c r="Z101" s="26">
        <v>8955.7924246424718</v>
      </c>
      <c r="AB101" s="26">
        <v>10287.333270128061</v>
      </c>
      <c r="AC101" s="273"/>
    </row>
    <row r="102" spans="2:29" ht="16.5" x14ac:dyDescent="0.25">
      <c r="B102" s="6" t="s">
        <v>190</v>
      </c>
      <c r="C102" s="23">
        <f>(Q_11+Q_22-2*Q_12-2*Q_33)*SIN(ϴ)^2*COS(ϴ)^2+Q_33*(SIN(ϴ)^4+COS(ϴ)^4)</f>
        <v>4700.0355903050568</v>
      </c>
      <c r="D102" t="s">
        <v>2</v>
      </c>
      <c r="E102" s="24">
        <f t="shared" si="0"/>
        <v>681682.53053734009</v>
      </c>
      <c r="F102" t="s">
        <v>3</v>
      </c>
      <c r="G102" t="s">
        <v>295</v>
      </c>
      <c r="O102" s="272">
        <v>0.375</v>
      </c>
      <c r="P102" s="17">
        <v>33.75</v>
      </c>
      <c r="Q102" s="27">
        <v>0.58904862254808621</v>
      </c>
      <c r="R102" s="26">
        <v>28366.595034483653</v>
      </c>
      <c r="T102" s="26">
        <v>15701.281687809835</v>
      </c>
      <c r="V102" s="26">
        <v>-4786.8387831462651</v>
      </c>
      <c r="X102" s="26">
        <v>-10501.546843476186</v>
      </c>
      <c r="Z102" s="26">
        <v>10266.757596945135</v>
      </c>
      <c r="AB102" s="26">
        <v>11598.298442430723</v>
      </c>
      <c r="AC102" s="273"/>
    </row>
    <row r="103" spans="2:29" x14ac:dyDescent="0.25">
      <c r="O103" s="272">
        <v>0.4375</v>
      </c>
      <c r="P103" s="17">
        <v>39.375</v>
      </c>
      <c r="Q103" s="27">
        <v>0.68722339297276724</v>
      </c>
      <c r="R103" s="26">
        <v>24386.33981400952</v>
      </c>
      <c r="T103" s="26">
        <v>17929.619061906305</v>
      </c>
      <c r="V103" s="26">
        <v>-6568.6429488069543</v>
      </c>
      <c r="X103" s="26">
        <v>-9661.420664531548</v>
      </c>
      <c r="Z103" s="26">
        <v>11142.716520133969</v>
      </c>
      <c r="AB103" s="26">
        <v>12474.25736561956</v>
      </c>
      <c r="AC103" s="273"/>
    </row>
    <row r="104" spans="2:29" x14ac:dyDescent="0.25">
      <c r="B104" s="6"/>
      <c r="O104" s="272">
        <v>0.5</v>
      </c>
      <c r="P104" s="17">
        <v>45</v>
      </c>
      <c r="Q104" s="27">
        <v>0.78539816339744828</v>
      </c>
      <c r="R104" s="26">
        <v>20850.383569350997</v>
      </c>
      <c r="T104" s="26">
        <v>20850.38356935099</v>
      </c>
      <c r="V104" s="26">
        <v>-8274.0146786592413</v>
      </c>
      <c r="X104" s="26">
        <v>-8274.014678659245</v>
      </c>
      <c r="Z104" s="26">
        <v>11450.312388740884</v>
      </c>
      <c r="AB104" s="26">
        <v>12781.853234226473</v>
      </c>
      <c r="AC104" s="273"/>
    </row>
    <row r="105" spans="2:29" x14ac:dyDescent="0.25">
      <c r="O105" s="272">
        <v>0.5625</v>
      </c>
      <c r="P105" s="17">
        <v>50.625</v>
      </c>
      <c r="Q105" s="27">
        <v>0.88357293382212931</v>
      </c>
      <c r="R105" s="26">
        <v>17929.619061906305</v>
      </c>
      <c r="T105" s="26">
        <v>24386.33981400952</v>
      </c>
      <c r="V105" s="26">
        <v>-9661.420664531548</v>
      </c>
      <c r="X105" s="26">
        <v>-6568.6429488069543</v>
      </c>
      <c r="Z105" s="26">
        <v>11142.71652013397</v>
      </c>
      <c r="AB105" s="26">
        <v>12474.257365619558</v>
      </c>
      <c r="AC105" s="273"/>
    </row>
    <row r="106" spans="2:29" x14ac:dyDescent="0.25">
      <c r="O106" s="272">
        <v>0.625</v>
      </c>
      <c r="P106" s="17">
        <v>56.25</v>
      </c>
      <c r="Q106" s="27">
        <v>0.98174770424681035</v>
      </c>
      <c r="R106" s="26">
        <v>15701.281687809838</v>
      </c>
      <c r="T106" s="26">
        <v>28366.595034483653</v>
      </c>
      <c r="V106" s="26">
        <v>-10501.546843476188</v>
      </c>
      <c r="X106" s="26">
        <v>-4786.8387831462678</v>
      </c>
      <c r="Z106" s="26">
        <v>10266.757596945137</v>
      </c>
      <c r="AB106" s="26">
        <v>11598.298442430729</v>
      </c>
      <c r="AC106" s="273"/>
    </row>
    <row r="107" spans="2:29" x14ac:dyDescent="0.25">
      <c r="O107" s="272">
        <v>0.6875</v>
      </c>
      <c r="P107" s="17">
        <v>61.875</v>
      </c>
      <c r="Q107" s="27">
        <v>1.0799224746714915</v>
      </c>
      <c r="R107" s="26">
        <v>14151.311007388758</v>
      </c>
      <c r="T107" s="26">
        <v>32538.496059510064</v>
      </c>
      <c r="V107" s="26">
        <v>-10612.904730404163</v>
      </c>
      <c r="X107" s="26">
        <v>-3146.2788236965748</v>
      </c>
      <c r="Z107" s="26">
        <v>8955.79242464247</v>
      </c>
      <c r="AB107" s="26">
        <v>10287.33327012806</v>
      </c>
      <c r="AC107" s="273"/>
    </row>
    <row r="108" spans="2:29" x14ac:dyDescent="0.25">
      <c r="O108" s="272">
        <v>0.75</v>
      </c>
      <c r="P108" s="17">
        <v>67.5</v>
      </c>
      <c r="Q108" s="27">
        <v>1.1780972450961724</v>
      </c>
      <c r="R108" s="26">
        <v>13190.068617477737</v>
      </c>
      <c r="T108" s="26">
        <v>36592.516165145673</v>
      </c>
      <c r="V108" s="26">
        <v>-9891.5207088776933</v>
      </c>
      <c r="X108" s="26">
        <v>-1809.7030649562766</v>
      </c>
      <c r="Z108" s="26">
        <v>7409.4035667801772</v>
      </c>
      <c r="AB108" s="26">
        <v>8740.944412265766</v>
      </c>
      <c r="AC108" s="273"/>
    </row>
    <row r="109" spans="2:29" x14ac:dyDescent="0.25">
      <c r="B109" s="17"/>
      <c r="C109" s="17"/>
      <c r="O109" s="272">
        <v>0.8125</v>
      </c>
      <c r="P109" s="17">
        <v>73.125</v>
      </c>
      <c r="Q109" s="27">
        <v>1.2762720155208536</v>
      </c>
      <c r="R109" s="26">
        <v>12678.497695073263</v>
      </c>
      <c r="T109" s="26">
        <v>40196.864803274751</v>
      </c>
      <c r="V109" s="26">
        <v>-8330.1092163841186</v>
      </c>
      <c r="X109" s="26">
        <v>-863.48330967653135</v>
      </c>
      <c r="Z109" s="26">
        <v>5863.0147089178809</v>
      </c>
      <c r="AB109" s="26">
        <v>7194.5555544034705</v>
      </c>
      <c r="AC109" s="273"/>
    </row>
    <row r="110" spans="2:29" x14ac:dyDescent="0.25">
      <c r="B110" s="17"/>
      <c r="C110" s="17"/>
      <c r="O110" s="272">
        <v>0.875</v>
      </c>
      <c r="P110" s="17">
        <v>78.75</v>
      </c>
      <c r="Q110" s="27">
        <v>1.3744467859455345</v>
      </c>
      <c r="R110" s="26">
        <v>12460.260794854212</v>
      </c>
      <c r="T110" s="26">
        <v>43037.032048099107</v>
      </c>
      <c r="V110" s="26">
        <v>-6023.6823668334155</v>
      </c>
      <c r="X110" s="26">
        <v>-308.97430650349486</v>
      </c>
      <c r="Z110" s="26">
        <v>4552.0495366152163</v>
      </c>
      <c r="AB110" s="26">
        <v>5883.5903821008051</v>
      </c>
      <c r="AC110" s="273"/>
    </row>
    <row r="111" spans="2:29" x14ac:dyDescent="0.25">
      <c r="B111" s="17"/>
      <c r="C111" s="17"/>
      <c r="O111" s="272">
        <v>0.9375</v>
      </c>
      <c r="P111" s="17">
        <v>84.375</v>
      </c>
      <c r="Q111" s="27">
        <v>1.4726215563702156</v>
      </c>
      <c r="R111" s="26">
        <v>12394.541731327001</v>
      </c>
      <c r="T111" s="26">
        <v>44854.668958004004</v>
      </c>
      <c r="V111" s="26">
        <v>-3160.5690458880977</v>
      </c>
      <c r="X111" s="26">
        <v>-67.79133016350859</v>
      </c>
      <c r="Z111" s="26">
        <v>3676.0906134263828</v>
      </c>
      <c r="AB111" s="26">
        <v>5007.631458911972</v>
      </c>
      <c r="AC111" s="273"/>
    </row>
    <row r="112" spans="2:29" x14ac:dyDescent="0.25">
      <c r="B112" s="17"/>
      <c r="C112" s="17"/>
      <c r="O112" s="272">
        <v>1</v>
      </c>
      <c r="P112" s="17">
        <v>90</v>
      </c>
      <c r="Q112" s="27">
        <v>1.5707963267948966</v>
      </c>
      <c r="R112" s="26">
        <v>12384.171855953926</v>
      </c>
      <c r="T112" s="26">
        <v>45480.230570590895</v>
      </c>
      <c r="V112" s="26">
        <v>-2.0038322698754158E-12</v>
      </c>
      <c r="X112" s="26">
        <v>-2.354699001470676E-14</v>
      </c>
      <c r="Z112" s="26">
        <v>3368.4947448194675</v>
      </c>
      <c r="AB112" s="26">
        <v>4700.0355903050568</v>
      </c>
      <c r="AC112" s="273"/>
    </row>
    <row r="113" spans="2:29" x14ac:dyDescent="0.25">
      <c r="B113" s="17"/>
      <c r="C113" s="17"/>
      <c r="O113" s="272"/>
      <c r="AC113" s="273"/>
    </row>
    <row r="114" spans="2:29" x14ac:dyDescent="0.25">
      <c r="B114" s="17"/>
      <c r="C114" s="17"/>
      <c r="O114" s="272"/>
      <c r="AC114" s="273"/>
    </row>
    <row r="115" spans="2:29" x14ac:dyDescent="0.25">
      <c r="B115" s="17"/>
      <c r="C115" s="17"/>
      <c r="O115" s="272"/>
      <c r="AC115" s="273"/>
    </row>
    <row r="116" spans="2:29" x14ac:dyDescent="0.25">
      <c r="B116" s="17"/>
      <c r="C116" s="17"/>
      <c r="O116" s="272"/>
      <c r="AC116" s="273"/>
    </row>
    <row r="117" spans="2:29" x14ac:dyDescent="0.25">
      <c r="B117" s="17"/>
      <c r="C117" s="17"/>
      <c r="O117" s="272"/>
      <c r="AC117" s="273"/>
    </row>
    <row r="118" spans="2:29" x14ac:dyDescent="0.25">
      <c r="B118" s="17"/>
      <c r="C118" s="17"/>
      <c r="O118" s="272"/>
      <c r="AC118" s="273"/>
    </row>
    <row r="119" spans="2:29" x14ac:dyDescent="0.25">
      <c r="B119" s="17"/>
      <c r="C119" s="17"/>
      <c r="O119" s="272"/>
      <c r="AC119" s="273"/>
    </row>
    <row r="120" spans="2:29" x14ac:dyDescent="0.25">
      <c r="B120" s="17"/>
      <c r="C120" s="17"/>
      <c r="O120" s="272"/>
      <c r="AC120" s="273"/>
    </row>
    <row r="121" spans="2:29" x14ac:dyDescent="0.25">
      <c r="B121" s="17"/>
      <c r="C121" s="17"/>
      <c r="O121" s="272"/>
      <c r="AC121" s="273"/>
    </row>
    <row r="122" spans="2:29" x14ac:dyDescent="0.25">
      <c r="B122" s="17"/>
      <c r="C122" s="17"/>
      <c r="O122" s="272"/>
      <c r="AC122" s="273"/>
    </row>
    <row r="123" spans="2:29" x14ac:dyDescent="0.25">
      <c r="B123" s="17"/>
      <c r="C123" s="17"/>
      <c r="O123" s="272"/>
      <c r="AC123" s="273"/>
    </row>
    <row r="124" spans="2:29" x14ac:dyDescent="0.25">
      <c r="B124" s="17"/>
      <c r="C124" s="17"/>
      <c r="O124" s="272"/>
      <c r="AC124" s="273"/>
    </row>
    <row r="125" spans="2:29" x14ac:dyDescent="0.25">
      <c r="B125" s="17"/>
      <c r="C125" s="17"/>
      <c r="O125" s="272"/>
      <c r="AC125" s="273"/>
    </row>
    <row r="126" spans="2:29" x14ac:dyDescent="0.25">
      <c r="B126" s="17"/>
      <c r="C126" s="17"/>
      <c r="O126" s="272"/>
      <c r="AC126" s="273"/>
    </row>
    <row r="127" spans="2:29" x14ac:dyDescent="0.25">
      <c r="B127" s="17"/>
      <c r="C127" s="17"/>
      <c r="O127" s="272"/>
      <c r="AC127" s="273"/>
    </row>
    <row r="128" spans="2:29" x14ac:dyDescent="0.25">
      <c r="B128" s="17"/>
      <c r="C128" s="17"/>
      <c r="O128" s="272"/>
      <c r="AC128" s="273"/>
    </row>
    <row r="129" spans="2:29" x14ac:dyDescent="0.25">
      <c r="B129" s="17"/>
      <c r="C129" s="17"/>
      <c r="O129" s="272"/>
      <c r="AC129" s="273"/>
    </row>
    <row r="130" spans="2:29" x14ac:dyDescent="0.25">
      <c r="B130" s="17"/>
      <c r="C130" s="17"/>
      <c r="O130" s="272"/>
      <c r="AC130" s="273"/>
    </row>
    <row r="131" spans="2:29" x14ac:dyDescent="0.25">
      <c r="B131" s="17"/>
      <c r="C131" s="17"/>
      <c r="O131" s="272"/>
      <c r="AC131" s="273"/>
    </row>
    <row r="132" spans="2:29" x14ac:dyDescent="0.25">
      <c r="B132" s="17"/>
      <c r="C132" s="17"/>
      <c r="O132" s="272"/>
      <c r="AC132" s="273"/>
    </row>
    <row r="133" spans="2:29" x14ac:dyDescent="0.25">
      <c r="B133" s="17"/>
      <c r="C133" s="17"/>
      <c r="O133" s="272"/>
      <c r="AC133" s="273"/>
    </row>
    <row r="134" spans="2:29" x14ac:dyDescent="0.25">
      <c r="B134" s="17"/>
      <c r="C134" s="17"/>
      <c r="O134" s="272"/>
      <c r="AC134" s="273"/>
    </row>
    <row r="135" spans="2:29" x14ac:dyDescent="0.25">
      <c r="B135" s="17"/>
      <c r="C135" s="17"/>
      <c r="O135" s="272"/>
      <c r="AC135" s="273"/>
    </row>
    <row r="136" spans="2:29" x14ac:dyDescent="0.25">
      <c r="B136" s="17"/>
      <c r="C136" s="17"/>
      <c r="O136" s="274"/>
      <c r="P136" s="275"/>
      <c r="Q136" s="276"/>
      <c r="R136" s="149"/>
      <c r="S136" s="150"/>
      <c r="T136" s="149"/>
      <c r="U136" s="149"/>
      <c r="V136" s="149"/>
      <c r="W136" s="149"/>
      <c r="X136" s="149"/>
      <c r="Y136" s="149"/>
      <c r="Z136" s="149"/>
      <c r="AA136" s="149"/>
      <c r="AB136" s="149"/>
      <c r="AC136" s="277"/>
    </row>
    <row r="137" spans="2:29" x14ac:dyDescent="0.25">
      <c r="B137" s="17"/>
      <c r="C137" s="17"/>
    </row>
    <row r="138" spans="2:29" x14ac:dyDescent="0.25">
      <c r="B138" s="17"/>
      <c r="C138" s="17"/>
    </row>
    <row r="139" spans="2:29" x14ac:dyDescent="0.25">
      <c r="B139" s="17"/>
      <c r="C139" s="17"/>
    </row>
    <row r="140" spans="2:29" x14ac:dyDescent="0.25">
      <c r="B140" s="17"/>
      <c r="C140" s="17"/>
    </row>
    <row r="141" spans="2:29" x14ac:dyDescent="0.25">
      <c r="B141" s="17"/>
      <c r="C141" s="17"/>
    </row>
    <row r="142" spans="2:29" x14ac:dyDescent="0.25">
      <c r="B142" s="17"/>
      <c r="C142" s="17"/>
    </row>
    <row r="143" spans="2:29" x14ac:dyDescent="0.25">
      <c r="B143" s="17"/>
      <c r="C143" s="17"/>
    </row>
    <row r="144" spans="2:29" x14ac:dyDescent="0.25">
      <c r="B144" s="17"/>
      <c r="C144" s="17"/>
    </row>
    <row r="145" spans="2:3" x14ac:dyDescent="0.25">
      <c r="B145" s="17"/>
      <c r="C145" s="25"/>
    </row>
    <row r="146" spans="2:3" x14ac:dyDescent="0.25">
      <c r="B146" s="17"/>
      <c r="C146" s="25"/>
    </row>
    <row r="147" spans="2:3" x14ac:dyDescent="0.25">
      <c r="B147" s="17"/>
      <c r="C147" s="25"/>
    </row>
    <row r="148" spans="2:3" x14ac:dyDescent="0.25">
      <c r="B148" s="17"/>
      <c r="C148" s="25"/>
    </row>
    <row r="149" spans="2:3" x14ac:dyDescent="0.25">
      <c r="B149" s="17"/>
      <c r="C149" s="26"/>
    </row>
    <row r="150" spans="2:3" x14ac:dyDescent="0.25">
      <c r="B150" s="17"/>
      <c r="C150" s="26"/>
    </row>
    <row r="151" spans="2:3" x14ac:dyDescent="0.25">
      <c r="B151" s="17"/>
      <c r="C151" s="26"/>
    </row>
    <row r="152" spans="2:3" x14ac:dyDescent="0.25">
      <c r="B152" s="17"/>
      <c r="C152" s="26"/>
    </row>
    <row r="153" spans="2:3" x14ac:dyDescent="0.25">
      <c r="B153" s="17"/>
    </row>
    <row r="154" spans="2:3" x14ac:dyDescent="0.25">
      <c r="B154" s="17"/>
    </row>
    <row r="155" spans="2:3" x14ac:dyDescent="0.25">
      <c r="B155" s="17"/>
    </row>
  </sheetData>
  <mergeCells count="12">
    <mergeCell ref="G62:L62"/>
    <mergeCell ref="C10:E10"/>
    <mergeCell ref="C11:E11"/>
    <mergeCell ref="C12:E12"/>
    <mergeCell ref="J17:M17"/>
    <mergeCell ref="J18:M18"/>
    <mergeCell ref="C18:H18"/>
    <mergeCell ref="C7:E7"/>
    <mergeCell ref="C8:E8"/>
    <mergeCell ref="C9:E9"/>
    <mergeCell ref="C6:E6"/>
    <mergeCell ref="C17:H17"/>
  </mergeCells>
  <phoneticPr fontId="16" type="noConversion"/>
  <conditionalFormatting sqref="C29:C39">
    <cfRule type="cellIs" dxfId="2" priority="1" operator="equal">
      <formula>0</formula>
    </cfRule>
  </conditionalFormatting>
  <dataValidations count="5">
    <dataValidation type="decimal" allowBlank="1" showInputMessage="1" showErrorMessage="1" errorTitle="Out of Range!" error="Fiber Volume Content must range  from 0 - 1_x000a_Decimal values are allowed" sqref="C28" xr:uid="{0C609382-E569-47EF-8226-7DD1D8A31E59}">
      <formula1>0</formula1>
      <formula2>1</formula2>
    </dataValidation>
    <dataValidation type="list" showInputMessage="1" showErrorMessage="1" errorTitle="Entry Not Valid!" error="Select an entry from the drop-down list" sqref="C18" xr:uid="{97B5554C-293D-40D1-8D03-C827420009CA}">
      <formula1>Resin_Type</formula1>
    </dataValidation>
    <dataValidation type="list" showInputMessage="1" showErrorMessage="1" errorTitle="Entry Not Valid!" error="Make a selection from the drop-down list" sqref="C17" xr:uid="{F2DAE014-8C38-413D-BE1F-F175605CDC28}">
      <formula1>Fiber_Type</formula1>
    </dataValidation>
    <dataValidation type="decimal" allowBlank="1" showInputMessage="1" showErrorMessage="1" errorTitle="Value Out of Range!" error="Enter a value in the range of 0-90 degrees. Decimal values are allowed." sqref="C95" xr:uid="{B51701F7-E625-4E71-A337-37CCAEF2E8D7}">
      <formula1>0</formula1>
      <formula2>90</formula2>
    </dataValidation>
    <dataValidation type="whole" allowBlank="1" showInputMessage="1" showErrorMessage="1" errorTitle="Out of Range!" error="Enter an whole number of intervals in the range of 10 - 40" sqref="O95" xr:uid="{33BD9158-695E-4C09-9107-B0B7B2B343EB}">
      <formula1>10</formula1>
      <formula2>40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3601C-4B76-4EA6-A389-303B116F3A1C}">
  <dimension ref="A1:AC82"/>
  <sheetViews>
    <sheetView zoomScaleNormal="100" workbookViewId="0">
      <selection activeCell="J17" sqref="J17"/>
    </sheetView>
  </sheetViews>
  <sheetFormatPr defaultRowHeight="15" x14ac:dyDescent="0.25"/>
  <cols>
    <col min="1" max="1" width="6" customWidth="1"/>
    <col min="2" max="2" width="9.7109375" customWidth="1"/>
    <col min="3" max="3" width="12.7109375" customWidth="1"/>
    <col min="4" max="4" width="6.7109375" customWidth="1"/>
    <col min="5" max="5" width="12.7109375" customWidth="1"/>
    <col min="6" max="6" width="6.7109375" customWidth="1"/>
    <col min="7" max="7" width="12.7109375" customWidth="1"/>
    <col min="8" max="8" width="6.7109375" customWidth="1"/>
    <col min="9" max="9" width="12.7109375" customWidth="1"/>
    <col min="10" max="10" width="6.7109375" customWidth="1"/>
    <col min="11" max="11" width="12.7109375" customWidth="1"/>
    <col min="12" max="12" width="6.7109375" customWidth="1"/>
    <col min="13" max="13" width="12.7109375" customWidth="1"/>
    <col min="14" max="14" width="6.7109375" customWidth="1"/>
    <col min="15" max="15" width="12.7109375" customWidth="1"/>
    <col min="16" max="16" width="6.7109375" customWidth="1"/>
    <col min="17" max="17" width="12.7109375" customWidth="1"/>
    <col min="18" max="18" width="6.7109375" customWidth="1"/>
    <col min="19" max="19" width="13.7109375" style="26" customWidth="1"/>
    <col min="20" max="20" width="6.7109375" style="26" customWidth="1"/>
    <col min="21" max="21" width="13.7109375" style="26" customWidth="1"/>
    <col min="22" max="22" width="6.7109375" customWidth="1"/>
    <col min="23" max="23" width="13.7109375" style="26" customWidth="1"/>
    <col min="24" max="24" width="6.7109375" customWidth="1"/>
    <col min="25" max="25" width="13.7109375" customWidth="1"/>
    <col min="26" max="26" width="6.7109375" customWidth="1"/>
  </cols>
  <sheetData>
    <row r="1" spans="1:18" ht="15.95" customHeight="1" x14ac:dyDescent="0.25">
      <c r="A1" s="54" t="s">
        <v>305</v>
      </c>
      <c r="B1" s="54"/>
      <c r="C1" s="55"/>
      <c r="D1" s="55"/>
    </row>
    <row r="2" spans="1:18" ht="15.95" customHeight="1" x14ac:dyDescent="0.25">
      <c r="A2" s="155"/>
      <c r="B2" s="155"/>
      <c r="C2" s="156"/>
      <c r="D2" s="156"/>
      <c r="M2" s="280"/>
    </row>
    <row r="3" spans="1:18" ht="15.95" customHeight="1" x14ac:dyDescent="0.25">
      <c r="A3" s="40" t="s">
        <v>102</v>
      </c>
      <c r="B3" s="65">
        <v>45500</v>
      </c>
      <c r="C3" s="41"/>
      <c r="D3" s="41"/>
    </row>
    <row r="4" spans="1:18" ht="15.95" customHeight="1" x14ac:dyDescent="0.25">
      <c r="A4" s="280" t="s">
        <v>300</v>
      </c>
      <c r="B4" s="65"/>
      <c r="C4" s="41"/>
      <c r="D4" s="41"/>
    </row>
    <row r="5" spans="1:18" ht="15.95" customHeight="1" x14ac:dyDescent="0.25">
      <c r="A5" s="280"/>
      <c r="B5" s="65"/>
      <c r="C5" s="41"/>
      <c r="D5" s="41"/>
    </row>
    <row r="6" spans="1:18" ht="15.95" customHeight="1" x14ac:dyDescent="0.25">
      <c r="A6" s="40"/>
      <c r="C6" s="307" t="s">
        <v>176</v>
      </c>
      <c r="D6" s="307"/>
    </row>
    <row r="7" spans="1:18" ht="15.95" customHeight="1" x14ac:dyDescent="0.25">
      <c r="A7" s="40"/>
      <c r="B7" s="146" t="s">
        <v>174</v>
      </c>
      <c r="C7" s="308" t="s">
        <v>101</v>
      </c>
      <c r="D7" s="309"/>
    </row>
    <row r="8" spans="1:18" ht="15.95" customHeight="1" x14ac:dyDescent="0.25">
      <c r="A8" s="40"/>
      <c r="B8" s="146" t="s">
        <v>174</v>
      </c>
      <c r="C8" s="284" t="s">
        <v>173</v>
      </c>
      <c r="D8" s="286"/>
    </row>
    <row r="9" spans="1:18" ht="15.95" customHeight="1" x14ac:dyDescent="0.25">
      <c r="B9" s="146" t="s">
        <v>175</v>
      </c>
      <c r="C9" s="310" t="s">
        <v>172</v>
      </c>
      <c r="D9" s="311"/>
    </row>
    <row r="10" spans="1:18" ht="15.95" customHeight="1" x14ac:dyDescent="0.25">
      <c r="A10" s="146"/>
      <c r="B10" s="146" t="s">
        <v>298</v>
      </c>
      <c r="C10" s="312" t="s">
        <v>297</v>
      </c>
      <c r="D10" s="313"/>
      <c r="E10" s="279" t="s">
        <v>299</v>
      </c>
      <c r="F10" s="278"/>
      <c r="G10" s="278"/>
      <c r="H10" s="278"/>
      <c r="I10" s="278"/>
      <c r="J10" s="278"/>
      <c r="K10" s="278"/>
      <c r="L10" s="278"/>
    </row>
    <row r="11" spans="1:18" ht="15.95" customHeight="1" x14ac:dyDescent="0.25">
      <c r="B11" s="146"/>
      <c r="E11" s="278"/>
      <c r="F11" s="278"/>
      <c r="G11" s="278"/>
      <c r="H11" s="278"/>
      <c r="I11" s="278"/>
      <c r="J11" s="278"/>
      <c r="K11" s="278"/>
      <c r="L11" s="278"/>
    </row>
    <row r="12" spans="1:18" ht="15.95" customHeight="1" x14ac:dyDescent="0.25"/>
    <row r="13" spans="1:18" ht="16.5" thickBot="1" x14ac:dyDescent="0.3">
      <c r="B13" s="8" t="s">
        <v>266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4"/>
    </row>
    <row r="15" spans="1:18" x14ac:dyDescent="0.25">
      <c r="B15" s="5" t="s">
        <v>103</v>
      </c>
      <c r="C15" s="304" t="str">
        <f>'Single Ply DNV'!C17</f>
        <v>AGY E-glass, generic</v>
      </c>
      <c r="D15" s="304"/>
      <c r="E15" s="304"/>
      <c r="F15" s="304"/>
      <c r="H15" s="5" t="s">
        <v>71</v>
      </c>
      <c r="I15" s="304" t="str">
        <f>'Single Ply DNV'!C18</f>
        <v>West System 105 Epoxy Resin/ 205 Fast Hardener</v>
      </c>
      <c r="J15" s="304"/>
      <c r="K15" s="304"/>
      <c r="L15" s="304"/>
      <c r="M15" s="304"/>
      <c r="N15" s="304"/>
    </row>
    <row r="17" spans="2:29" ht="16.5" thickBot="1" x14ac:dyDescent="0.3">
      <c r="B17" s="8" t="s">
        <v>17</v>
      </c>
      <c r="C17" s="8"/>
      <c r="D17" s="8"/>
      <c r="E17" s="8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2:29" x14ac:dyDescent="0.25">
      <c r="C18" s="5" t="s">
        <v>4</v>
      </c>
      <c r="D18" s="5"/>
      <c r="E18" s="5" t="s">
        <v>5</v>
      </c>
    </row>
    <row r="19" spans="2:29" x14ac:dyDescent="0.25">
      <c r="C19" s="15">
        <v>1</v>
      </c>
      <c r="D19" t="s">
        <v>2</v>
      </c>
      <c r="E19" s="15">
        <v>145.03773799999999</v>
      </c>
      <c r="F19" t="s">
        <v>3</v>
      </c>
    </row>
    <row r="20" spans="2:29" ht="16.5" x14ac:dyDescent="0.25">
      <c r="C20" s="15">
        <v>1</v>
      </c>
      <c r="D20" t="s">
        <v>6</v>
      </c>
      <c r="E20" s="15">
        <v>3.6126999999999999E-2</v>
      </c>
      <c r="F20" t="s">
        <v>7</v>
      </c>
    </row>
    <row r="23" spans="2:29" ht="16.5" thickBot="1" x14ac:dyDescent="0.3">
      <c r="B23" s="8" t="s">
        <v>115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14"/>
      <c r="R23" s="14"/>
    </row>
    <row r="24" spans="2:29" x14ac:dyDescent="0.25">
      <c r="C24" s="5" t="s">
        <v>4</v>
      </c>
      <c r="D24" s="5"/>
      <c r="E24" s="5" t="s">
        <v>5</v>
      </c>
    </row>
    <row r="25" spans="2:29" x14ac:dyDescent="0.25">
      <c r="B25" s="28" t="s">
        <v>0</v>
      </c>
      <c r="C25" s="5"/>
      <c r="D25" s="5"/>
      <c r="E25" s="5"/>
      <c r="G25" s="16" t="s">
        <v>8</v>
      </c>
    </row>
    <row r="26" spans="2:29" ht="18" x14ac:dyDescent="0.35">
      <c r="B26" s="4" t="s">
        <v>14</v>
      </c>
      <c r="C26" s="23">
        <f>VLOOKUP(C15,'Fiber Data'!$B$12:$AS$31,18,FALSE)*10^3</f>
        <v>72400</v>
      </c>
      <c r="D26" t="s">
        <v>2</v>
      </c>
      <c r="E26" s="24">
        <f>EfL*PSI</f>
        <v>10500732.231199998</v>
      </c>
      <c r="F26" t="s">
        <v>3</v>
      </c>
      <c r="G26" s="16" t="s">
        <v>146</v>
      </c>
    </row>
    <row r="27" spans="2:29" ht="18" x14ac:dyDescent="0.35">
      <c r="B27" s="4" t="s">
        <v>16</v>
      </c>
      <c r="C27" s="23">
        <f>INDEX('Matrix Data'!V:V,MATCH(I15,'Matrix Data'!B:B,0))*10^3</f>
        <v>2810</v>
      </c>
      <c r="D27" t="s">
        <v>2</v>
      </c>
      <c r="E27" s="24">
        <f>Em*PSI</f>
        <v>407556.04377999995</v>
      </c>
      <c r="F27" t="s">
        <v>3</v>
      </c>
      <c r="G27" s="16" t="s">
        <v>9</v>
      </c>
    </row>
    <row r="28" spans="2:29" ht="18" x14ac:dyDescent="0.35">
      <c r="B28" s="4" t="s">
        <v>18</v>
      </c>
      <c r="C28" s="18">
        <f>INDEX('Matrix Data'!AL:AL,MATCH(I15,'Matrix Data'!B:B,0))</f>
        <v>0.35</v>
      </c>
      <c r="G28" s="16" t="s">
        <v>19</v>
      </c>
    </row>
    <row r="29" spans="2:29" ht="18" x14ac:dyDescent="0.35">
      <c r="B29" s="4" t="s">
        <v>140</v>
      </c>
      <c r="G29" s="16" t="s">
        <v>193</v>
      </c>
      <c r="Q29" s="2"/>
      <c r="AC29" s="9"/>
    </row>
    <row r="30" spans="2:29" ht="18" x14ac:dyDescent="0.35">
      <c r="B30" s="4" t="s">
        <v>141</v>
      </c>
      <c r="G30" s="16" t="s">
        <v>304</v>
      </c>
      <c r="R30" s="10"/>
    </row>
    <row r="31" spans="2:29" x14ac:dyDescent="0.25">
      <c r="B31" s="4"/>
      <c r="H31" s="16"/>
      <c r="I31" s="16"/>
      <c r="R31" s="25"/>
    </row>
    <row r="32" spans="2:29" x14ac:dyDescent="0.25">
      <c r="B32" s="27"/>
      <c r="C32" s="5"/>
      <c r="D32" s="5"/>
      <c r="E32" s="11"/>
      <c r="F32" s="11"/>
      <c r="G32" s="11"/>
      <c r="R32" s="9"/>
    </row>
    <row r="33" spans="2:26" s="37" customFormat="1" ht="73.5" customHeight="1" x14ac:dyDescent="0.25">
      <c r="B33" s="173" t="s">
        <v>199</v>
      </c>
      <c r="C33" s="305" t="s">
        <v>200</v>
      </c>
      <c r="D33" s="305"/>
      <c r="E33" s="305"/>
      <c r="F33" s="305"/>
      <c r="G33" s="305" t="s">
        <v>201</v>
      </c>
      <c r="H33" s="305"/>
      <c r="I33" s="305"/>
      <c r="J33" s="305"/>
      <c r="K33" s="306" t="s">
        <v>202</v>
      </c>
      <c r="L33" s="306"/>
      <c r="M33" s="306"/>
      <c r="N33" s="306"/>
      <c r="O33" s="306" t="s">
        <v>203</v>
      </c>
      <c r="P33" s="306"/>
      <c r="Q33" s="306"/>
      <c r="R33" s="306"/>
      <c r="S33" s="306" t="s">
        <v>198</v>
      </c>
      <c r="T33" s="306"/>
      <c r="U33" s="306"/>
      <c r="V33" s="306"/>
      <c r="W33" s="306" t="s">
        <v>204</v>
      </c>
      <c r="X33" s="306"/>
      <c r="Y33" s="306"/>
      <c r="Z33" s="306"/>
    </row>
    <row r="34" spans="2:26" ht="18" x14ac:dyDescent="0.35">
      <c r="B34" s="29">
        <v>26</v>
      </c>
      <c r="G34" s="26"/>
      <c r="H34" s="16"/>
      <c r="I34" s="16"/>
      <c r="K34" s="30">
        <f>(EfL/Em-1)/(EfL/Em+ℰ)</f>
        <v>0.89195078185080745</v>
      </c>
      <c r="L34" s="172" t="s">
        <v>195</v>
      </c>
      <c r="M34" s="171">
        <v>2</v>
      </c>
      <c r="N34" s="170" t="s">
        <v>194</v>
      </c>
      <c r="O34" s="23">
        <f>Em/(1-vm^2)</f>
        <v>3202.2792022792019</v>
      </c>
      <c r="P34" s="38" t="s">
        <v>147</v>
      </c>
      <c r="Q34" s="169"/>
      <c r="R34" s="169"/>
      <c r="S34" s="314" t="s">
        <v>207</v>
      </c>
      <c r="T34" s="314"/>
      <c r="U34" s="314"/>
      <c r="V34" s="314"/>
    </row>
    <row r="35" spans="2:26" x14ac:dyDescent="0.25">
      <c r="B35" s="31" t="s">
        <v>0</v>
      </c>
      <c r="C35" s="5" t="s">
        <v>4</v>
      </c>
      <c r="D35" s="5"/>
      <c r="E35" s="5" t="s">
        <v>5</v>
      </c>
      <c r="G35" s="5" t="s">
        <v>4</v>
      </c>
      <c r="I35" s="5" t="s">
        <v>5</v>
      </c>
      <c r="K35" s="5" t="s">
        <v>4</v>
      </c>
      <c r="M35" s="5" t="s">
        <v>5</v>
      </c>
      <c r="O35" s="5" t="s">
        <v>4</v>
      </c>
      <c r="Q35" s="5" t="s">
        <v>5</v>
      </c>
      <c r="S35" s="5" t="s">
        <v>4</v>
      </c>
      <c r="T35"/>
      <c r="U35" s="5" t="s">
        <v>5</v>
      </c>
      <c r="W35" s="5" t="s">
        <v>4</v>
      </c>
      <c r="Y35" s="5" t="s">
        <v>5</v>
      </c>
    </row>
    <row r="36" spans="2:26" ht="15.75" thickBot="1" x14ac:dyDescent="0.3">
      <c r="B36" s="175" cm="1">
        <f t="array" ref="B36:B62">_xlfn.SEQUENCE(n+1,1,0,1/n)</f>
        <v>0</v>
      </c>
      <c r="C36" s="176" cm="1">
        <f t="array" ref="C36:C62">(_xlfn.ANCHORARRAY(B36)*EfL)+(1-_xlfn.ANCHORARRAY(B36))*Em</f>
        <v>2810</v>
      </c>
      <c r="D36" s="14" t="s">
        <v>2</v>
      </c>
      <c r="E36" s="177" cm="1">
        <f t="array" ref="E36:E62">_xlfn.ANCHORARRAY(C36)*PSI</f>
        <v>407556.04377999995</v>
      </c>
      <c r="F36" s="14" t="s">
        <v>3</v>
      </c>
      <c r="G36" s="176" cm="1">
        <f t="array" ref="G36:G62">EfL*Em/(_xlfn.ANCHORARRAY(B36)*Em+(1-_xlfn.ANCHORARRAY(B36))*EfL)</f>
        <v>2810</v>
      </c>
      <c r="H36" s="14" t="s">
        <v>2</v>
      </c>
      <c r="I36" s="177" cm="1">
        <f t="array" ref="I36:I62">_xlfn.ANCHORARRAY(G36)*PSI</f>
        <v>407556.04377999995</v>
      </c>
      <c r="J36" s="14" t="s">
        <v>3</v>
      </c>
      <c r="K36" s="176" cm="1">
        <f t="array" ref="K36:K62">Em*(1+ℰ*ŋ*_xlfn.ANCHORARRAY(B36))/(1-ŋ*_xlfn.ANCHORARRAY(B36))</f>
        <v>2810</v>
      </c>
      <c r="L36" s="14" t="s">
        <v>2</v>
      </c>
      <c r="M36" s="177" cm="1">
        <f t="array" ref="M36:M62">_xlfn.ANCHORARRAY(K36)*PSI</f>
        <v>407556.04377999995</v>
      </c>
      <c r="N36" s="14" t="s">
        <v>3</v>
      </c>
      <c r="O36" s="176" cm="1">
        <f t="array" ref="O36:O62">Ém*EfL/(EfL*(1-_xlfn.ANCHORARRAY(B36))+_xlfn.ANCHORARRAY(B36)*Ém)</f>
        <v>3202.2792022792019</v>
      </c>
      <c r="P36" s="14" t="s">
        <v>2</v>
      </c>
      <c r="Q36" s="177" cm="1">
        <f t="array" ref="Q36:Q62">+_xlfn.ANCHORARRAY(O36)*PSI</f>
        <v>464451.33194301988</v>
      </c>
      <c r="R36" s="14" t="s">
        <v>3</v>
      </c>
      <c r="S36" s="176" cm="1">
        <f t="array" ref="S36:S62">Em/(1-vm^2)*(1+0.85*_xlfn.ANCHORARRAY(B36)^2)/((1-_xlfn.ANCHORARRAY(B36))^1.25+(_xlfn.ANCHORARRAY(B36)*(Em/(EfT*(1-vm^2)))))</f>
        <v>3202.2792022792019</v>
      </c>
      <c r="T36" s="178" t="s">
        <v>2</v>
      </c>
      <c r="U36" s="177" cm="1">
        <f t="array" ref="U36:U62">_xlfn.ANCHORARRAY(S36)*PSI</f>
        <v>464451.33194301988</v>
      </c>
      <c r="V36" s="14" t="s">
        <v>3</v>
      </c>
      <c r="W36" s="176" cm="1">
        <f t="array" ref="W36:W62">Em/(1-(SQRT(_xlfn.ANCHORARRAY(B36))*(1-Gm/Gf_12)))</f>
        <v>2810</v>
      </c>
      <c r="X36" s="178" t="s">
        <v>2</v>
      </c>
      <c r="Y36" s="24" cm="1">
        <f t="array" ref="Y36:Y62">_xlfn.ANCHORARRAY(W36)*PSI</f>
        <v>407556.04377999995</v>
      </c>
      <c r="Z36" s="14" t="s">
        <v>3</v>
      </c>
    </row>
    <row r="37" spans="2:26" x14ac:dyDescent="0.25">
      <c r="B37" s="179">
        <v>3.8461538461538464E-2</v>
      </c>
      <c r="C37" s="180">
        <v>5486.5384615384619</v>
      </c>
      <c r="D37" s="180"/>
      <c r="E37" s="181">
        <v>795755.12791153847</v>
      </c>
      <c r="F37" s="180"/>
      <c r="G37" s="180">
        <v>2917.8700470540207</v>
      </c>
      <c r="H37" s="182"/>
      <c r="I37" s="181">
        <v>423201.27140266867</v>
      </c>
      <c r="J37" s="182"/>
      <c r="K37" s="180">
        <v>3109.471497194897</v>
      </c>
      <c r="L37" s="183"/>
      <c r="M37" s="181">
        <v>450990.71232862119</v>
      </c>
      <c r="N37" s="183"/>
      <c r="O37" s="180">
        <v>3324.4886351137739</v>
      </c>
      <c r="P37" s="182"/>
      <c r="Q37" s="181">
        <v>482176.31164360908</v>
      </c>
      <c r="R37" s="182"/>
      <c r="S37" s="180">
        <v>3361.4090673576243</v>
      </c>
      <c r="T37" s="180"/>
      <c r="U37" s="181">
        <v>487531.16762223945</v>
      </c>
      <c r="V37" s="182"/>
      <c r="W37" s="180">
        <v>3465.8728453398307</v>
      </c>
      <c r="X37" s="182"/>
      <c r="Y37" s="181">
        <v>502682.35768371285</v>
      </c>
      <c r="Z37" s="184"/>
    </row>
    <row r="38" spans="2:26" x14ac:dyDescent="0.25">
      <c r="B38" s="147">
        <v>7.6923076923076927E-2</v>
      </c>
      <c r="C38" s="26">
        <v>8163.0769230769238</v>
      </c>
      <c r="D38" s="26"/>
      <c r="E38" s="32">
        <v>1183954.212043077</v>
      </c>
      <c r="F38" s="26"/>
      <c r="G38" s="26">
        <v>3034.3525200491044</v>
      </c>
      <c r="I38" s="32">
        <v>440095.62580252171</v>
      </c>
      <c r="K38" s="26">
        <v>3431.0038426117062</v>
      </c>
      <c r="L38" s="174"/>
      <c r="M38" s="32">
        <v>497625.03640170983</v>
      </c>
      <c r="N38" s="174"/>
      <c r="O38" s="26">
        <v>3456.3959946783898</v>
      </c>
      <c r="Q38" s="32">
        <v>501307.85670041369</v>
      </c>
      <c r="S38" s="26">
        <v>3543.7300525246296</v>
      </c>
      <c r="U38" s="32">
        <v>513974.59090079344</v>
      </c>
      <c r="W38" s="26">
        <v>3836.8171882109741</v>
      </c>
      <c r="Y38" s="32">
        <v>556483.28609763994</v>
      </c>
      <c r="Z38" s="185"/>
    </row>
    <row r="39" spans="2:26" ht="16.5" customHeight="1" x14ac:dyDescent="0.25">
      <c r="B39" s="147">
        <v>0.11538461538461539</v>
      </c>
      <c r="C39" s="26">
        <v>10839.615384615385</v>
      </c>
      <c r="D39" s="26"/>
      <c r="E39" s="32">
        <v>1572153.2961746154</v>
      </c>
      <c r="F39" s="26"/>
      <c r="G39" s="26">
        <v>3160.5217401695718</v>
      </c>
      <c r="I39" s="32">
        <v>458394.92409401841</v>
      </c>
      <c r="K39" s="26">
        <v>3777.1279571369696</v>
      </c>
      <c r="L39" s="174"/>
      <c r="M39" s="32">
        <v>547826.09503970703</v>
      </c>
      <c r="N39" s="174"/>
      <c r="O39" s="26">
        <v>3599.2033439413512</v>
      </c>
      <c r="Q39" s="32">
        <v>522020.31160728954</v>
      </c>
      <c r="S39" s="26">
        <v>3752.5574802124679</v>
      </c>
      <c r="U39" s="32">
        <v>544262.44864499604</v>
      </c>
      <c r="W39" s="26">
        <v>4180.1096560418118</v>
      </c>
      <c r="Y39" s="32">
        <v>606273.64910426235</v>
      </c>
      <c r="Z39" s="185"/>
    </row>
    <row r="40" spans="2:26" x14ac:dyDescent="0.25">
      <c r="B40" s="147">
        <v>0.15384615384615385</v>
      </c>
      <c r="C40" s="26">
        <v>13516.153846153848</v>
      </c>
      <c r="D40" s="26"/>
      <c r="E40" s="32">
        <v>1960352.380306154</v>
      </c>
      <c r="F40" s="26"/>
      <c r="G40" s="26">
        <v>3297.6384628812248</v>
      </c>
      <c r="I40" s="32">
        <v>478282.02339808975</v>
      </c>
      <c r="K40" s="26">
        <v>4150.7773003611101</v>
      </c>
      <c r="L40" s="174"/>
      <c r="M40" s="32">
        <v>602019.3505861219</v>
      </c>
      <c r="N40" s="174"/>
      <c r="O40" s="26">
        <v>3754.3199694518216</v>
      </c>
      <c r="Q40" s="32">
        <v>544518.07609752123</v>
      </c>
      <c r="S40" s="26">
        <v>3991.8275467539693</v>
      </c>
      <c r="U40" s="32">
        <v>578965.63786728494</v>
      </c>
      <c r="W40" s="26">
        <v>4521.1364028978815</v>
      </c>
      <c r="Y40" s="32">
        <v>655735.39706576534</v>
      </c>
      <c r="Z40" s="185"/>
    </row>
    <row r="41" spans="2:26" x14ac:dyDescent="0.25">
      <c r="B41" s="147">
        <v>0.19230769230769232</v>
      </c>
      <c r="C41" s="26">
        <v>16192.692307692309</v>
      </c>
      <c r="D41" s="26"/>
      <c r="E41" s="32">
        <v>2348551.4644376924</v>
      </c>
      <c r="F41" s="26"/>
      <c r="G41" s="26">
        <v>3447.1921535403562</v>
      </c>
      <c r="I41" s="32">
        <v>499972.95240084192</v>
      </c>
      <c r="K41" s="26">
        <v>4555.3712133383306</v>
      </c>
      <c r="L41" s="174"/>
      <c r="M41" s="32">
        <v>660700.73653290689</v>
      </c>
      <c r="N41" s="174"/>
      <c r="O41" s="26">
        <v>3923.4090465739155</v>
      </c>
      <c r="Q41" s="32">
        <v>569042.37336381734</v>
      </c>
      <c r="S41" s="26">
        <v>4266.2448621563581</v>
      </c>
      <c r="U41" s="32">
        <v>618766.5045612799</v>
      </c>
      <c r="W41" s="26">
        <v>4871.2646236814026</v>
      </c>
      <c r="Y41" s="32">
        <v>706517.20221817179</v>
      </c>
      <c r="Z41" s="185"/>
    </row>
    <row r="42" spans="2:26" x14ac:dyDescent="0.25">
      <c r="B42" s="147">
        <v>0.23076923076923078</v>
      </c>
      <c r="C42" s="26">
        <v>18869.23076923077</v>
      </c>
      <c r="D42" s="26"/>
      <c r="E42" s="32">
        <v>2736750.5485692308</v>
      </c>
      <c r="F42" s="26"/>
      <c r="G42" s="26">
        <v>3610.9553131357266</v>
      </c>
      <c r="I42" s="32">
        <v>523724.79063628742</v>
      </c>
      <c r="K42" s="26">
        <v>4994.9198624439787</v>
      </c>
      <c r="L42" s="174"/>
      <c r="M42" s="32">
        <v>724451.87834014581</v>
      </c>
      <c r="N42" s="174"/>
      <c r="O42" s="26">
        <v>4108.4475098642306</v>
      </c>
      <c r="Q42" s="32">
        <v>595879.93352244061</v>
      </c>
      <c r="S42" s="26">
        <v>4581.4732090680518</v>
      </c>
      <c r="U42" s="32">
        <v>664486.51095083123</v>
      </c>
      <c r="W42" s="26">
        <v>5237.9943924552463</v>
      </c>
      <c r="Y42" s="32">
        <v>759706.85833839315</v>
      </c>
      <c r="Z42" s="185"/>
    </row>
    <row r="43" spans="2:26" x14ac:dyDescent="0.25">
      <c r="B43" s="147">
        <v>0.26923076923076927</v>
      </c>
      <c r="C43" s="26">
        <v>21545.769230769234</v>
      </c>
      <c r="D43" s="26"/>
      <c r="E43" s="32">
        <v>3124949.6327007697</v>
      </c>
      <c r="F43" s="26"/>
      <c r="G43" s="26">
        <v>3791.0540612211257</v>
      </c>
      <c r="I43" s="32">
        <v>549845.90567522554</v>
      </c>
      <c r="K43" s="26">
        <v>5474.1576109874868</v>
      </c>
      <c r="L43" s="174"/>
      <c r="M43" s="32">
        <v>793959.43735310901</v>
      </c>
      <c r="N43" s="174"/>
      <c r="O43" s="26">
        <v>4311.8037039059827</v>
      </c>
      <c r="Q43" s="32">
        <v>625374.2559145455</v>
      </c>
      <c r="S43" s="26">
        <v>4944.3847927391862</v>
      </c>
      <c r="U43" s="32">
        <v>717122.3861404903</v>
      </c>
      <c r="W43" s="26">
        <v>5627.5990565357824</v>
      </c>
      <c r="Y43" s="32">
        <v>816214.23753088398</v>
      </c>
      <c r="Z43" s="185"/>
    </row>
    <row r="44" spans="2:26" x14ac:dyDescent="0.25">
      <c r="B44" s="147">
        <v>0.30769230769230771</v>
      </c>
      <c r="C44" s="26">
        <v>24222.307692307695</v>
      </c>
      <c r="D44" s="26"/>
      <c r="E44" s="32">
        <v>3513148.7168323076</v>
      </c>
      <c r="F44" s="26"/>
      <c r="G44" s="26">
        <v>3990.0609498521517</v>
      </c>
      <c r="I44" s="32">
        <v>578709.41464868747</v>
      </c>
      <c r="K44" s="26">
        <v>5998.7142274765583</v>
      </c>
      <c r="L44" s="174"/>
      <c r="M44" s="32">
        <v>870039.94246161741</v>
      </c>
      <c r="N44" s="174"/>
      <c r="O44" s="26">
        <v>4536.3392959749162</v>
      </c>
      <c r="Q44" s="32">
        <v>657940.39028871432</v>
      </c>
      <c r="S44" s="26">
        <v>5363.3896587005174</v>
      </c>
      <c r="U44" s="32">
        <v>777893.90411051502</v>
      </c>
      <c r="W44" s="26">
        <v>6046.1867552749973</v>
      </c>
      <c r="Y44" s="32">
        <v>876925.2505106451</v>
      </c>
      <c r="Z44" s="185"/>
    </row>
    <row r="45" spans="2:26" x14ac:dyDescent="0.25">
      <c r="B45" s="147">
        <v>0.34615384615384615</v>
      </c>
      <c r="C45" s="26">
        <v>26898.846153846152</v>
      </c>
      <c r="D45" s="26"/>
      <c r="E45" s="32">
        <v>3901347.8009638456</v>
      </c>
      <c r="F45" s="26"/>
      <c r="G45" s="26">
        <v>4211.1186300344725</v>
      </c>
      <c r="I45" s="32">
        <v>610771.12054985866</v>
      </c>
      <c r="K45" s="26">
        <v>6575.3370750458207</v>
      </c>
      <c r="L45" s="174"/>
      <c r="M45" s="32">
        <v>953672.015952182</v>
      </c>
      <c r="N45" s="174"/>
      <c r="O45" s="26">
        <v>4785.5447803661746</v>
      </c>
      <c r="Q45" s="32">
        <v>694084.5900420167</v>
      </c>
      <c r="S45" s="26">
        <v>5848.8765090538027</v>
      </c>
      <c r="U45" s="32">
        <v>848307.81871450006</v>
      </c>
      <c r="W45" s="26">
        <v>6500.3001391819316</v>
      </c>
      <c r="Y45" s="32">
        <v>942788.82850803249</v>
      </c>
      <c r="Z45" s="185"/>
    </row>
    <row r="46" spans="2:26" x14ac:dyDescent="0.25">
      <c r="B46" s="147">
        <v>0.38461538461538458</v>
      </c>
      <c r="C46" s="26">
        <v>29575.384615384613</v>
      </c>
      <c r="D46" s="26"/>
      <c r="E46" s="32">
        <v>4289546.885095384</v>
      </c>
      <c r="F46" s="26"/>
      <c r="G46" s="26">
        <v>4458.1070375052668</v>
      </c>
      <c r="I46" s="32">
        <v>646593.760481645</v>
      </c>
      <c r="K46" s="26">
        <v>7212.1829178610551</v>
      </c>
      <c r="L46" s="174"/>
      <c r="M46" s="32">
        <v>1046038.6964488071</v>
      </c>
      <c r="N46" s="174"/>
      <c r="O46" s="26">
        <v>5063.7222428575251</v>
      </c>
      <c r="Q46" s="32">
        <v>734430.81996434205</v>
      </c>
      <c r="S46" s="26">
        <v>6413.8106498982015</v>
      </c>
      <c r="U46" s="32">
        <v>930244.588621545</v>
      </c>
      <c r="W46" s="26">
        <v>6997.3826408737332</v>
      </c>
      <c r="Y46" s="32">
        <v>1014884.5501527925</v>
      </c>
      <c r="Z46" s="185"/>
    </row>
    <row r="47" spans="2:26" x14ac:dyDescent="0.25">
      <c r="B47" s="147">
        <v>0.42307692307692302</v>
      </c>
      <c r="C47" s="26">
        <v>32251.923076923074</v>
      </c>
      <c r="D47" s="26"/>
      <c r="E47" s="32">
        <v>4677745.9692269228</v>
      </c>
      <c r="F47" s="26"/>
      <c r="G47" s="26">
        <v>4735.8730784038098</v>
      </c>
      <c r="I47" s="32">
        <v>686880.31874678517</v>
      </c>
      <c r="K47" s="26">
        <v>7919.2061946272052</v>
      </c>
      <c r="L47" s="174"/>
      <c r="M47" s="32">
        <v>1148583.7532243175</v>
      </c>
      <c r="N47" s="174"/>
      <c r="O47" s="26">
        <v>5376.2358023122842</v>
      </c>
      <c r="Q47" s="32">
        <v>779757.07972198888</v>
      </c>
      <c r="S47" s="26">
        <v>7074.5572332539359</v>
      </c>
      <c r="U47" s="32">
        <v>1026077.7784626891</v>
      </c>
      <c r="W47" s="26">
        <v>7546.2481899442091</v>
      </c>
      <c r="Y47" s="32">
        <v>1094490.7678561024</v>
      </c>
      <c r="Z47" s="185"/>
    </row>
    <row r="48" spans="2:26" x14ac:dyDescent="0.25">
      <c r="B48" s="147">
        <v>0.46153846153846145</v>
      </c>
      <c r="C48" s="26">
        <v>34928.461538461532</v>
      </c>
      <c r="D48" s="26"/>
      <c r="E48" s="32">
        <v>5065945.0533584598</v>
      </c>
      <c r="F48" s="26"/>
      <c r="G48" s="26">
        <v>5050.551884810754</v>
      </c>
      <c r="I48" s="32">
        <v>732520.62102458824</v>
      </c>
      <c r="K48" s="26">
        <v>8708.6831344684251</v>
      </c>
      <c r="L48" s="174"/>
      <c r="M48" s="32">
        <v>1263087.7027820502</v>
      </c>
      <c r="N48" s="174"/>
      <c r="O48" s="26">
        <v>5729.8608899490209</v>
      </c>
      <c r="Q48" s="32">
        <v>831046.06253287289</v>
      </c>
      <c r="S48" s="26">
        <v>7852.0333746204706</v>
      </c>
      <c r="U48" s="32">
        <v>1138841.1593554595</v>
      </c>
      <c r="W48" s="26">
        <v>8157.6407417164992</v>
      </c>
      <c r="Y48" s="32">
        <v>1183165.7605952031</v>
      </c>
      <c r="Z48" s="185"/>
    </row>
    <row r="49" spans="2:26" x14ac:dyDescent="0.25">
      <c r="B49" s="147">
        <v>0.49999999999999989</v>
      </c>
      <c r="C49" s="26">
        <v>37604.999999999993</v>
      </c>
      <c r="D49" s="26"/>
      <c r="E49" s="32">
        <v>5454144.1374899987</v>
      </c>
      <c r="F49" s="26"/>
      <c r="G49" s="26">
        <v>5410.0252625980575</v>
      </c>
      <c r="I49" s="32">
        <v>784657.82661007822</v>
      </c>
      <c r="K49" s="26">
        <v>9595.9305957200668</v>
      </c>
      <c r="L49" s="174"/>
      <c r="M49" s="32">
        <v>1391772.067608231</v>
      </c>
      <c r="N49" s="174"/>
      <c r="O49" s="26">
        <v>6133.2810780663531</v>
      </c>
      <c r="Q49" s="32">
        <v>889557.21408094524</v>
      </c>
      <c r="S49" s="26">
        <v>8773.3499253434657</v>
      </c>
      <c r="U49" s="32">
        <v>1272466.827854285</v>
      </c>
      <c r="W49" s="26">
        <v>8844.9678072634142</v>
      </c>
      <c r="Y49" s="32">
        <v>1282854.1234483055</v>
      </c>
      <c r="Z49" s="185"/>
    </row>
    <row r="50" spans="2:26" x14ac:dyDescent="0.25">
      <c r="B50" s="147">
        <v>0.53846153846153832</v>
      </c>
      <c r="C50" s="26">
        <v>40281.538461538454</v>
      </c>
      <c r="D50" s="26"/>
      <c r="E50" s="32">
        <v>5842343.2216215366</v>
      </c>
      <c r="F50" s="26"/>
      <c r="G50" s="26">
        <v>5824.5909221045204</v>
      </c>
      <c r="I50" s="32">
        <v>844785.49211737374</v>
      </c>
      <c r="K50" s="26">
        <v>10600.309601047176</v>
      </c>
      <c r="L50" s="174"/>
      <c r="M50" s="32">
        <v>1537444.9266355648</v>
      </c>
      <c r="N50" s="174"/>
      <c r="O50" s="26">
        <v>6597.8106851338116</v>
      </c>
      <c r="Q50" s="32">
        <v>956931.53752403823</v>
      </c>
      <c r="S50" s="26">
        <v>9874.1983609868184</v>
      </c>
      <c r="U50" s="32">
        <v>1432131.3948408356</v>
      </c>
      <c r="W50" s="26">
        <v>9625.3182585531995</v>
      </c>
      <c r="Y50" s="32">
        <v>1396034.3877506552</v>
      </c>
      <c r="Z50" s="185"/>
    </row>
    <row r="51" spans="2:26" x14ac:dyDescent="0.25">
      <c r="B51" s="147">
        <v>0.57692307692307676</v>
      </c>
      <c r="C51" s="26">
        <v>42958.076923076915</v>
      </c>
      <c r="D51" s="26"/>
      <c r="E51" s="32">
        <v>6230542.3057530755</v>
      </c>
      <c r="F51" s="26"/>
      <c r="G51" s="26">
        <v>6307.9649394788603</v>
      </c>
      <c r="I51" s="32">
        <v>914892.96620532079</v>
      </c>
      <c r="K51" s="26">
        <v>11746.65441213807</v>
      </c>
      <c r="L51" s="174"/>
      <c r="M51" s="32">
        <v>1703708.1850042252</v>
      </c>
      <c r="N51" s="174"/>
      <c r="O51" s="26">
        <v>7138.4726670094478</v>
      </c>
      <c r="Q51" s="32">
        <v>1035347.9283978775</v>
      </c>
      <c r="S51" s="26">
        <v>11202.399288498193</v>
      </c>
      <c r="U51" s="32">
        <v>1624770.6529765872</v>
      </c>
      <c r="W51" s="26">
        <v>10520.931664098998</v>
      </c>
      <c r="Y51" s="32">
        <v>1525932.1302134944</v>
      </c>
      <c r="Z51" s="185"/>
    </row>
    <row r="52" spans="2:26" x14ac:dyDescent="0.25">
      <c r="B52" s="147">
        <v>0.6153846153846152</v>
      </c>
      <c r="C52" s="26">
        <v>45634.615384615376</v>
      </c>
      <c r="D52" s="26"/>
      <c r="E52" s="32">
        <v>6618741.3898846135</v>
      </c>
      <c r="F52" s="26"/>
      <c r="G52" s="26">
        <v>6878.828547648769</v>
      </c>
      <c r="I52" s="32">
        <v>997689.73264080263</v>
      </c>
      <c r="K52" s="26">
        <v>13067.353673995707</v>
      </c>
      <c r="L52" s="174"/>
      <c r="M52" s="32">
        <v>1895259.4185223267</v>
      </c>
      <c r="N52" s="174"/>
      <c r="O52" s="26">
        <v>7775.6537845267285</v>
      </c>
      <c r="Q52" s="32">
        <v>1127763.2363788961</v>
      </c>
      <c r="S52" s="26">
        <v>12823.311281999015</v>
      </c>
      <c r="U52" s="32">
        <v>1859864.062011017</v>
      </c>
      <c r="W52" s="26">
        <v>11561.392447294253</v>
      </c>
      <c r="Y52" s="32">
        <v>1676838.2086858426</v>
      </c>
      <c r="Z52" s="185"/>
    </row>
    <row r="53" spans="2:26" x14ac:dyDescent="0.25">
      <c r="B53" s="147">
        <v>0.65384615384615363</v>
      </c>
      <c r="C53" s="26">
        <v>48311.153846153829</v>
      </c>
      <c r="D53" s="26"/>
      <c r="E53" s="32">
        <v>7006940.4740161514</v>
      </c>
      <c r="F53" s="26"/>
      <c r="G53" s="26">
        <v>7563.2983971288404</v>
      </c>
      <c r="I53" s="32">
        <v>1096963.6913385927</v>
      </c>
      <c r="K53" s="26">
        <v>14605.459319447888</v>
      </c>
      <c r="L53" s="174"/>
      <c r="M53" s="32">
        <v>2118342.7821437409</v>
      </c>
      <c r="N53" s="174"/>
      <c r="O53" s="26">
        <v>8537.7330929434102</v>
      </c>
      <c r="Q53" s="32">
        <v>1238293.4954482559</v>
      </c>
      <c r="S53" s="26">
        <v>14828.309772792758</v>
      </c>
      <c r="U53" s="32">
        <v>2150664.5078091556</v>
      </c>
      <c r="W53" s="26">
        <v>12787.018679670613</v>
      </c>
      <c r="Y53" s="32">
        <v>1854600.2650631722</v>
      </c>
      <c r="Z53" s="185"/>
    </row>
    <row r="54" spans="2:26" x14ac:dyDescent="0.25">
      <c r="B54" s="147">
        <v>0.69230769230769207</v>
      </c>
      <c r="C54" s="26">
        <v>50987.69230769229</v>
      </c>
      <c r="D54" s="26"/>
      <c r="E54" s="32">
        <v>7395139.5581476893</v>
      </c>
      <c r="F54" s="26"/>
      <c r="G54" s="26">
        <v>8399.0345835053467</v>
      </c>
      <c r="I54" s="32">
        <v>1218176.9773753874</v>
      </c>
      <c r="K54" s="26">
        <v>16419.468488207232</v>
      </c>
      <c r="L54" s="174"/>
      <c r="M54" s="32">
        <v>2381442.5686918567</v>
      </c>
      <c r="N54" s="174"/>
      <c r="O54" s="26">
        <v>9465.4240660811483</v>
      </c>
      <c r="Q54" s="32">
        <v>1372843.6957551723</v>
      </c>
      <c r="S54" s="26">
        <v>17348.504807062094</v>
      </c>
      <c r="U54" s="32">
        <v>2516187.8948984123</v>
      </c>
      <c r="W54" s="26">
        <v>14254.29179061606</v>
      </c>
      <c r="Y54" s="32">
        <v>2067410.2381029229</v>
      </c>
      <c r="Z54" s="185"/>
    </row>
    <row r="55" spans="2:26" x14ac:dyDescent="0.25">
      <c r="B55" s="147">
        <v>0.7307692307692305</v>
      </c>
      <c r="C55" s="26">
        <v>53664.230769230751</v>
      </c>
      <c r="D55" s="26"/>
      <c r="E55" s="32">
        <v>7783338.6422792273</v>
      </c>
      <c r="F55" s="26"/>
      <c r="G55" s="26">
        <v>9442.4106106856525</v>
      </c>
      <c r="I55" s="32">
        <v>1369505.8762410455</v>
      </c>
      <c r="K55" s="26">
        <v>18590.932310175402</v>
      </c>
      <c r="L55" s="174"/>
      <c r="M55" s="32">
        <v>2696386.7695789547</v>
      </c>
      <c r="N55" s="174"/>
      <c r="O55" s="26">
        <v>10619.292641942386</v>
      </c>
      <c r="Q55" s="32">
        <v>1540198.1839473674</v>
      </c>
      <c r="S55" s="26">
        <v>20577.737338850584</v>
      </c>
      <c r="U55" s="32">
        <v>2984548.4767850279</v>
      </c>
      <c r="W55" s="26">
        <v>16044.930624285833</v>
      </c>
      <c r="Y55" s="32">
        <v>2327120.4441133449</v>
      </c>
      <c r="Z55" s="185"/>
    </row>
    <row r="56" spans="2:26" x14ac:dyDescent="0.25">
      <c r="B56" s="147">
        <v>0.76923076923076894</v>
      </c>
      <c r="C56" s="26">
        <v>56340.769230769212</v>
      </c>
      <c r="D56" s="26"/>
      <c r="E56" s="32">
        <v>8171537.7264107661</v>
      </c>
      <c r="F56" s="26"/>
      <c r="G56" s="26">
        <v>10781.785568691386</v>
      </c>
      <c r="I56" s="32">
        <v>1563765.7904840421</v>
      </c>
      <c r="K56" s="26">
        <v>21237.054278175627</v>
      </c>
      <c r="L56" s="174"/>
      <c r="M56" s="32">
        <v>3080174.3142898153</v>
      </c>
      <c r="N56" s="174"/>
      <c r="O56" s="26">
        <v>12093.537516061313</v>
      </c>
      <c r="Q56" s="32">
        <v>1754019.3257476713</v>
      </c>
      <c r="S56" s="26">
        <v>24812.692290489667</v>
      </c>
      <c r="U56" s="32">
        <v>3598776.7635026602</v>
      </c>
      <c r="W56" s="26">
        <v>18281.830971908264</v>
      </c>
      <c r="Y56" s="32">
        <v>2651555.4106639163</v>
      </c>
      <c r="Z56" s="185"/>
    </row>
    <row r="57" spans="2:26" x14ac:dyDescent="0.25">
      <c r="B57" s="147">
        <v>0.80769230769230738</v>
      </c>
      <c r="C57" s="26">
        <v>59017.307692307673</v>
      </c>
      <c r="D57" s="26"/>
      <c r="E57" s="32">
        <v>8559736.8105423041</v>
      </c>
      <c r="F57" s="26"/>
      <c r="G57" s="26">
        <v>12563.93909883374</v>
      </c>
      <c r="I57" s="32">
        <v>1822245.3072646039</v>
      </c>
      <c r="K57" s="26">
        <v>24532.563962407181</v>
      </c>
      <c r="L57" s="174"/>
      <c r="M57" s="32">
        <v>3558147.5844478542</v>
      </c>
      <c r="N57" s="174"/>
      <c r="O57" s="26">
        <v>14043.09930574912</v>
      </c>
      <c r="Q57" s="32">
        <v>2036779.3578152226</v>
      </c>
      <c r="S57" s="26">
        <v>30525.973580205497</v>
      </c>
      <c r="U57" s="32">
        <v>4427418.1583207669</v>
      </c>
      <c r="W57" s="26">
        <v>21158.812395415534</v>
      </c>
      <c r="Y57" s="32">
        <v>3068826.2885974306</v>
      </c>
      <c r="Z57" s="185"/>
    </row>
    <row r="58" spans="2:26" x14ac:dyDescent="0.25">
      <c r="B58" s="147">
        <v>0.84615384615384581</v>
      </c>
      <c r="C58" s="26">
        <v>61693.846153846134</v>
      </c>
      <c r="D58" s="26"/>
      <c r="E58" s="32">
        <v>8947935.8946738429</v>
      </c>
      <c r="F58" s="26"/>
      <c r="G58" s="26">
        <v>15051.915087359828</v>
      </c>
      <c r="I58" s="32">
        <v>2183095.7168387417</v>
      </c>
      <c r="K58" s="26">
        <v>28749.947340917264</v>
      </c>
      <c r="L58" s="174"/>
      <c r="M58" s="32">
        <v>4169827.3299457547</v>
      </c>
      <c r="N58" s="174"/>
      <c r="O58" s="26">
        <v>16742.030233205853</v>
      </c>
      <c r="Q58" s="32">
        <v>2428226.1945517892</v>
      </c>
      <c r="S58" s="26">
        <v>38505.240845878492</v>
      </c>
      <c r="U58" s="32">
        <v>5584713.0334314229</v>
      </c>
      <c r="W58" s="26">
        <v>25000.487265534524</v>
      </c>
      <c r="Y58" s="32">
        <v>3626014.1218909323</v>
      </c>
      <c r="Z58" s="185"/>
    </row>
    <row r="59" spans="2:26" x14ac:dyDescent="0.25">
      <c r="B59" s="147">
        <v>0.88461538461538425</v>
      </c>
      <c r="C59" s="26">
        <v>64370.384615384595</v>
      </c>
      <c r="D59" s="26"/>
      <c r="E59" s="32">
        <v>9336134.9788053818</v>
      </c>
      <c r="F59" s="26"/>
      <c r="G59" s="26">
        <v>18768.562608664757</v>
      </c>
      <c r="I59" s="32">
        <v>2722149.8662721156</v>
      </c>
      <c r="K59" s="26">
        <v>34338.928846827825</v>
      </c>
      <c r="L59" s="174"/>
      <c r="M59" s="32">
        <v>4980440.5652868561</v>
      </c>
      <c r="N59" s="174"/>
      <c r="O59" s="26">
        <v>20725.185426078326</v>
      </c>
      <c r="Q59" s="32">
        <v>3005934.0138289663</v>
      </c>
      <c r="S59" s="26">
        <v>50127.188279349095</v>
      </c>
      <c r="U59" s="32">
        <v>7270334.0003369041</v>
      </c>
      <c r="W59" s="26">
        <v>30395.070404212773</v>
      </c>
      <c r="Y59" s="32">
        <v>4408432.2577777663</v>
      </c>
      <c r="Z59" s="185"/>
    </row>
    <row r="60" spans="2:26" x14ac:dyDescent="0.25">
      <c r="B60" s="147">
        <v>0.92307692307692268</v>
      </c>
      <c r="C60" s="26">
        <v>67046.923076923049</v>
      </c>
      <c r="D60" s="26"/>
      <c r="E60" s="32">
        <v>9724334.0629369188</v>
      </c>
      <c r="F60" s="26"/>
      <c r="G60" s="26">
        <v>24922.465133810696</v>
      </c>
      <c r="I60" s="32">
        <v>3614697.9683917705</v>
      </c>
      <c r="K60" s="26">
        <v>42098.561223350713</v>
      </c>
      <c r="L60" s="174"/>
      <c r="M60" s="32">
        <v>6105880.0928892996</v>
      </c>
      <c r="N60" s="174"/>
      <c r="O60" s="26">
        <v>27195.319328335863</v>
      </c>
      <c r="Q60" s="32">
        <v>3944347.5995695125</v>
      </c>
      <c r="S60" s="26">
        <v>67883.476047487202</v>
      </c>
      <c r="U60" s="32">
        <v>9845665.8135047238</v>
      </c>
      <c r="W60" s="26">
        <v>38530.230845040198</v>
      </c>
      <c r="Y60" s="32">
        <v>5588337.5263824584</v>
      </c>
      <c r="Z60" s="185"/>
    </row>
    <row r="61" spans="2:26" x14ac:dyDescent="0.25">
      <c r="B61" s="147">
        <v>0.96153846153846112</v>
      </c>
      <c r="C61" s="26">
        <v>69723.461538461503</v>
      </c>
      <c r="D61" s="26"/>
      <c r="E61" s="32">
        <v>10112533.147068456</v>
      </c>
      <c r="F61" s="26"/>
      <c r="G61" s="26">
        <v>37080.574833508392</v>
      </c>
      <c r="I61" s="32">
        <v>5378082.6975917835</v>
      </c>
      <c r="K61" s="26">
        <v>53598.144544100665</v>
      </c>
      <c r="L61" s="174"/>
      <c r="M61" s="32">
        <v>7773753.6456734017</v>
      </c>
      <c r="N61" s="174"/>
      <c r="O61" s="26">
        <v>39538.828383701526</v>
      </c>
      <c r="Q61" s="32">
        <v>5734622.2319422653</v>
      </c>
      <c r="S61" s="26">
        <v>96015.460179815753</v>
      </c>
      <c r="U61" s="32">
        <v>13925865.157509549</v>
      </c>
      <c r="W61" s="26">
        <v>52217.976661807894</v>
      </c>
      <c r="Y61" s="32">
        <v>7573577.2179654073</v>
      </c>
      <c r="Z61" s="185"/>
    </row>
    <row r="62" spans="2:26" x14ac:dyDescent="0.25">
      <c r="B62" s="147">
        <v>0.99999999999999956</v>
      </c>
      <c r="C62" s="26">
        <v>72399.999999999971</v>
      </c>
      <c r="D62" s="26"/>
      <c r="E62" s="32">
        <v>10500732.231199995</v>
      </c>
      <c r="F62" s="26"/>
      <c r="G62" s="26">
        <v>72399.9999999992</v>
      </c>
      <c r="I62" s="32">
        <v>10500732.231199883</v>
      </c>
      <c r="K62" s="26">
        <v>72399.999999999651</v>
      </c>
      <c r="L62" s="174"/>
      <c r="M62" s="32">
        <v>10500732.231199948</v>
      </c>
      <c r="N62" s="174"/>
      <c r="O62" s="26">
        <v>72399.999999999302</v>
      </c>
      <c r="Q62" s="32">
        <v>10500732.231199898</v>
      </c>
      <c r="S62" s="26">
        <v>133940</v>
      </c>
      <c r="U62" s="32">
        <v>19426354.627719998</v>
      </c>
      <c r="W62" s="26">
        <v>80114.754098360107</v>
      </c>
      <c r="Y62" s="32">
        <v>11619662.714852378</v>
      </c>
      <c r="Z62" s="185"/>
    </row>
    <row r="63" spans="2:26" x14ac:dyDescent="0.25">
      <c r="B63" s="147"/>
      <c r="C63" s="26"/>
      <c r="D63" s="26"/>
      <c r="E63" s="32"/>
      <c r="F63" s="26"/>
      <c r="G63" s="26"/>
      <c r="I63" s="32"/>
      <c r="K63" s="26"/>
      <c r="L63" s="174"/>
      <c r="M63" s="32"/>
      <c r="N63" s="174"/>
      <c r="O63" s="26"/>
      <c r="Q63" s="32"/>
      <c r="U63" s="32"/>
      <c r="Y63" s="32"/>
      <c r="Z63" s="185"/>
    </row>
    <row r="64" spans="2:26" x14ac:dyDescent="0.25">
      <c r="B64" s="147"/>
      <c r="C64" s="26"/>
      <c r="D64" s="26"/>
      <c r="E64" s="32"/>
      <c r="F64" s="26"/>
      <c r="G64" s="26"/>
      <c r="I64" s="32"/>
      <c r="K64" s="26"/>
      <c r="L64" s="174"/>
      <c r="M64" s="32"/>
      <c r="N64" s="174"/>
      <c r="O64" s="26"/>
      <c r="Q64" s="32"/>
      <c r="U64" s="32"/>
      <c r="Y64" s="32"/>
      <c r="Z64" s="185"/>
    </row>
    <row r="65" spans="2:26" x14ac:dyDescent="0.25">
      <c r="B65" s="147"/>
      <c r="C65" s="26"/>
      <c r="D65" s="26"/>
      <c r="E65" s="32"/>
      <c r="F65" s="26"/>
      <c r="G65" s="26"/>
      <c r="I65" s="32"/>
      <c r="K65" s="26"/>
      <c r="L65" s="174"/>
      <c r="M65" s="32"/>
      <c r="N65" s="174"/>
      <c r="O65" s="26"/>
      <c r="Q65" s="32"/>
      <c r="U65" s="32"/>
      <c r="Y65" s="32"/>
      <c r="Z65" s="185"/>
    </row>
    <row r="66" spans="2:26" x14ac:dyDescent="0.25">
      <c r="B66" s="147"/>
      <c r="C66" s="26"/>
      <c r="D66" s="26"/>
      <c r="E66" s="32"/>
      <c r="F66" s="26"/>
      <c r="G66" s="26"/>
      <c r="I66" s="32"/>
      <c r="K66" s="26"/>
      <c r="L66" s="174"/>
      <c r="M66" s="32"/>
      <c r="N66" s="174"/>
      <c r="O66" s="26"/>
      <c r="Q66" s="32"/>
      <c r="U66" s="32"/>
      <c r="Y66" s="32"/>
      <c r="Z66" s="185"/>
    </row>
    <row r="67" spans="2:26" x14ac:dyDescent="0.25">
      <c r="B67" s="147"/>
      <c r="C67" s="26"/>
      <c r="D67" s="26"/>
      <c r="E67" s="32"/>
      <c r="F67" s="26"/>
      <c r="G67" s="26"/>
      <c r="I67" s="32"/>
      <c r="K67" s="26"/>
      <c r="L67" s="174"/>
      <c r="M67" s="32"/>
      <c r="N67" s="174"/>
      <c r="O67" s="26"/>
      <c r="Q67" s="32"/>
      <c r="U67" s="32"/>
      <c r="Y67" s="32"/>
      <c r="Z67" s="185"/>
    </row>
    <row r="68" spans="2:26" x14ac:dyDescent="0.25">
      <c r="B68" s="147"/>
      <c r="C68" s="26"/>
      <c r="D68" s="26"/>
      <c r="E68" s="32"/>
      <c r="F68" s="26"/>
      <c r="G68" s="26"/>
      <c r="I68" s="32"/>
      <c r="K68" s="26"/>
      <c r="L68" s="174"/>
      <c r="M68" s="32"/>
      <c r="N68" s="174"/>
      <c r="O68" s="26"/>
      <c r="Q68" s="32"/>
      <c r="U68" s="32"/>
      <c r="Y68" s="32"/>
      <c r="Z68" s="185"/>
    </row>
    <row r="69" spans="2:26" x14ac:dyDescent="0.25">
      <c r="B69" s="147"/>
      <c r="C69" s="26"/>
      <c r="D69" s="26"/>
      <c r="E69" s="32"/>
      <c r="F69" s="26"/>
      <c r="G69" s="26"/>
      <c r="I69" s="32"/>
      <c r="K69" s="26"/>
      <c r="L69" s="174"/>
      <c r="M69" s="32"/>
      <c r="N69" s="174"/>
      <c r="O69" s="26"/>
      <c r="Q69" s="32"/>
      <c r="U69" s="32"/>
      <c r="Y69" s="32"/>
      <c r="Z69" s="185"/>
    </row>
    <row r="70" spans="2:26" x14ac:dyDescent="0.25">
      <c r="B70" s="147"/>
      <c r="C70" s="26"/>
      <c r="D70" s="26"/>
      <c r="E70" s="32"/>
      <c r="F70" s="26"/>
      <c r="G70" s="26"/>
      <c r="I70" s="32"/>
      <c r="K70" s="26"/>
      <c r="L70" s="174"/>
      <c r="M70" s="32"/>
      <c r="N70" s="174"/>
      <c r="O70" s="26"/>
      <c r="Q70" s="32"/>
      <c r="U70" s="32"/>
      <c r="Y70" s="32"/>
      <c r="Z70" s="185"/>
    </row>
    <row r="71" spans="2:26" x14ac:dyDescent="0.25">
      <c r="B71" s="147"/>
      <c r="C71" s="26"/>
      <c r="E71" s="32"/>
      <c r="F71" s="26"/>
      <c r="G71" s="26"/>
      <c r="I71" s="32"/>
      <c r="K71" s="26"/>
      <c r="L71" s="174"/>
      <c r="M71" s="32"/>
      <c r="N71" s="174"/>
      <c r="O71" s="26"/>
      <c r="Q71" s="32"/>
      <c r="U71" s="32"/>
      <c r="Y71" s="32"/>
      <c r="Z71" s="185"/>
    </row>
    <row r="72" spans="2:26" x14ac:dyDescent="0.25">
      <c r="B72" s="147"/>
      <c r="C72" s="26"/>
      <c r="E72" s="32"/>
      <c r="F72" s="26"/>
      <c r="G72" s="26"/>
      <c r="I72" s="32"/>
      <c r="K72" s="26"/>
      <c r="L72" s="174"/>
      <c r="M72" s="32"/>
      <c r="N72" s="174"/>
      <c r="O72" s="26"/>
      <c r="Q72" s="32"/>
      <c r="U72" s="32"/>
      <c r="Y72" s="32"/>
      <c r="Z72" s="185"/>
    </row>
    <row r="73" spans="2:26" x14ac:dyDescent="0.25">
      <c r="B73" s="147"/>
      <c r="C73" s="26"/>
      <c r="E73" s="32"/>
      <c r="F73" s="26"/>
      <c r="G73" s="26"/>
      <c r="I73" s="32"/>
      <c r="K73" s="26"/>
      <c r="L73" s="174"/>
      <c r="M73" s="32"/>
      <c r="N73" s="174"/>
      <c r="O73" s="26"/>
      <c r="Q73" s="32"/>
      <c r="U73" s="32"/>
      <c r="Y73" s="32"/>
      <c r="Z73" s="185"/>
    </row>
    <row r="74" spans="2:26" x14ac:dyDescent="0.25">
      <c r="B74" s="147"/>
      <c r="C74" s="26"/>
      <c r="E74" s="32"/>
      <c r="F74" s="26"/>
      <c r="G74" s="26"/>
      <c r="I74" s="32"/>
      <c r="K74" s="26"/>
      <c r="L74" s="174"/>
      <c r="M74" s="32"/>
      <c r="N74" s="174"/>
      <c r="O74" s="26"/>
      <c r="Q74" s="32"/>
      <c r="U74" s="32"/>
      <c r="Y74" s="32"/>
      <c r="Z74" s="185"/>
    </row>
    <row r="75" spans="2:26" x14ac:dyDescent="0.25">
      <c r="B75" s="147"/>
      <c r="C75" s="26"/>
      <c r="E75" s="32"/>
      <c r="F75" s="26"/>
      <c r="G75" s="26"/>
      <c r="I75" s="32"/>
      <c r="K75" s="26"/>
      <c r="L75" s="174"/>
      <c r="M75" s="32"/>
      <c r="N75" s="174"/>
      <c r="O75" s="26"/>
      <c r="Q75" s="32"/>
      <c r="U75" s="32"/>
      <c r="Y75" s="32"/>
      <c r="Z75" s="185"/>
    </row>
    <row r="76" spans="2:26" x14ac:dyDescent="0.25">
      <c r="B76" s="148"/>
      <c r="C76" s="149"/>
      <c r="D76" s="150"/>
      <c r="E76" s="151"/>
      <c r="F76" s="149"/>
      <c r="G76" s="149"/>
      <c r="H76" s="150"/>
      <c r="I76" s="151"/>
      <c r="J76" s="150"/>
      <c r="K76" s="149"/>
      <c r="L76" s="152"/>
      <c r="M76" s="151"/>
      <c r="N76" s="152"/>
      <c r="O76" s="149"/>
      <c r="P76" s="150"/>
      <c r="Q76" s="151"/>
      <c r="R76" s="150"/>
      <c r="S76" s="149"/>
      <c r="T76" s="149"/>
      <c r="U76" s="151"/>
      <c r="V76" s="150"/>
      <c r="W76" s="149"/>
      <c r="X76" s="150"/>
      <c r="Y76" s="151"/>
      <c r="Z76" s="186"/>
    </row>
    <row r="77" spans="2:26" x14ac:dyDescent="0.25">
      <c r="E77" s="26"/>
      <c r="F77" s="26"/>
      <c r="G77" s="26"/>
    </row>
    <row r="78" spans="2:26" x14ac:dyDescent="0.25">
      <c r="E78" s="26"/>
      <c r="F78" s="26"/>
      <c r="G78" s="26"/>
    </row>
    <row r="79" spans="2:26" x14ac:dyDescent="0.25">
      <c r="E79" s="26"/>
    </row>
    <row r="80" spans="2:26" x14ac:dyDescent="0.25">
      <c r="E80" s="26"/>
    </row>
    <row r="81" spans="5:5" x14ac:dyDescent="0.25">
      <c r="E81" s="26"/>
    </row>
    <row r="82" spans="5:5" x14ac:dyDescent="0.25">
      <c r="E82" s="26"/>
    </row>
  </sheetData>
  <mergeCells count="14">
    <mergeCell ref="S34:V34"/>
    <mergeCell ref="K33:N33"/>
    <mergeCell ref="G33:J33"/>
    <mergeCell ref="W33:Z33"/>
    <mergeCell ref="I15:N15"/>
    <mergeCell ref="C33:F33"/>
    <mergeCell ref="O33:R33"/>
    <mergeCell ref="S33:V33"/>
    <mergeCell ref="C6:D6"/>
    <mergeCell ref="C7:D7"/>
    <mergeCell ref="C8:D8"/>
    <mergeCell ref="C9:D9"/>
    <mergeCell ref="C15:F15"/>
    <mergeCell ref="C10:D10"/>
  </mergeCells>
  <conditionalFormatting sqref="M34">
    <cfRule type="cellIs" dxfId="1" priority="1" operator="lessThan">
      <formula>1</formula>
    </cfRule>
    <cfRule type="cellIs" dxfId="0" priority="2" operator="greaterThan">
      <formula>2</formula>
    </cfRule>
  </conditionalFormatting>
  <dataValidations disablePrompts="1" count="2">
    <dataValidation type="whole" allowBlank="1" showInputMessage="1" showErrorMessage="1" errorTitle="Out of Range!" error="Enter a whole number in the range of 10 - 40 " sqref="B34" xr:uid="{21653FF2-268D-4D47-A838-63A21FBBC32B}">
      <formula1>10</formula1>
      <formula2>40</formula2>
    </dataValidation>
    <dataValidation type="decimal" operator="greaterThanOrEqual" allowBlank="1" showInputMessage="1" showErrorMessage="1" sqref="M34" xr:uid="{0B3719C9-46BB-4C6F-BBDC-F6E1DBD3FD30}">
      <formula1>0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D2B79-E596-4871-9B92-4CBDB0691EB9}">
  <dimension ref="A1:AM41"/>
  <sheetViews>
    <sheetView zoomScaleNormal="100" workbookViewId="0"/>
  </sheetViews>
  <sheetFormatPr defaultRowHeight="15" x14ac:dyDescent="0.25"/>
  <cols>
    <col min="1" max="1" width="9.28515625" style="39" customWidth="1"/>
    <col min="2" max="2" width="38" style="40" customWidth="1"/>
    <col min="3" max="3" width="49.28515625" style="41" bestFit="1" customWidth="1"/>
    <col min="4" max="4" width="65.140625" style="41" bestFit="1" customWidth="1"/>
    <col min="5" max="5" width="8.7109375" style="53" customWidth="1"/>
    <col min="6" max="6" width="6.42578125" style="39" bestFit="1" customWidth="1"/>
    <col min="7" max="7" width="8.7109375" style="66" customWidth="1"/>
    <col min="8" max="8" width="5.85546875" style="39" bestFit="1" customWidth="1"/>
    <col min="9" max="9" width="7.7109375" style="67" bestFit="1" customWidth="1"/>
    <col min="10" max="10" width="9.140625" style="40"/>
    <col min="11" max="12" width="9.140625" style="45"/>
    <col min="13" max="13" width="13.7109375" style="45" customWidth="1"/>
    <col min="14" max="14" width="9.7109375" style="68" customWidth="1"/>
    <col min="15" max="15" width="4.85546875" style="45" bestFit="1" customWidth="1"/>
    <col min="16" max="16" width="9.7109375" style="68" customWidth="1"/>
    <col min="17" max="17" width="3.7109375" style="45" bestFit="1" customWidth="1"/>
    <col min="18" max="18" width="12.85546875" style="69" customWidth="1"/>
    <col min="19" max="19" width="9.7109375" style="70" customWidth="1"/>
    <col min="20" max="20" width="4.5703125" style="45" bestFit="1" customWidth="1"/>
    <col min="21" max="21" width="9.7109375" style="68" customWidth="1"/>
    <col min="22" max="22" width="3.5703125" style="45" bestFit="1" customWidth="1"/>
    <col min="23" max="23" width="9.7109375" style="70" customWidth="1"/>
    <col min="24" max="24" width="4.5703125" style="45" bestFit="1" customWidth="1"/>
    <col min="25" max="25" width="9.7109375" style="45" customWidth="1"/>
    <col min="26" max="26" width="3.5703125" style="45" bestFit="1" customWidth="1"/>
    <col min="27" max="27" width="12.7109375" style="71" customWidth="1"/>
    <col min="28" max="28" width="8.7109375" style="71" customWidth="1"/>
    <col min="29" max="29" width="4.5703125" style="71" bestFit="1" customWidth="1"/>
    <col min="30" max="30" width="8.7109375" style="71" customWidth="1"/>
    <col min="31" max="31" width="3.5703125" style="71" bestFit="1" customWidth="1"/>
    <col min="32" max="32" width="8.7109375" style="53" customWidth="1"/>
    <col min="33" max="33" width="4.5703125" style="45" bestFit="1" customWidth="1"/>
    <col min="34" max="34" width="8.7109375" style="53" customWidth="1"/>
    <col min="35" max="35" width="6.5703125" style="45" bestFit="1" customWidth="1"/>
    <col min="36" max="36" width="9.140625" style="45"/>
    <col min="37" max="37" width="5.5703125" style="45" bestFit="1" customWidth="1"/>
    <col min="38" max="38" width="9.140625" style="45"/>
    <col min="39" max="39" width="8.5703125" style="45" bestFit="1" customWidth="1"/>
    <col min="40" max="16384" width="9.140625" style="45"/>
  </cols>
  <sheetData>
    <row r="1" spans="1:39" s="60" customFormat="1" ht="18.75" x14ac:dyDescent="0.25">
      <c r="A1" s="54" t="s">
        <v>31</v>
      </c>
      <c r="B1" s="54"/>
      <c r="C1" s="55"/>
      <c r="D1" s="55"/>
      <c r="E1" s="56"/>
      <c r="F1" s="57"/>
      <c r="G1" s="58"/>
      <c r="H1" s="57"/>
      <c r="I1" s="59"/>
      <c r="J1" s="54"/>
      <c r="N1" s="61"/>
      <c r="P1" s="61"/>
      <c r="R1" s="62"/>
      <c r="S1" s="63"/>
      <c r="U1" s="61"/>
      <c r="W1" s="63"/>
      <c r="AA1" s="64"/>
      <c r="AB1" s="64"/>
      <c r="AC1" s="64"/>
      <c r="AD1" s="64"/>
      <c r="AE1" s="64"/>
      <c r="AF1" s="56"/>
      <c r="AH1" s="56"/>
    </row>
    <row r="2" spans="1:39" s="99" customFormat="1" x14ac:dyDescent="0.25">
      <c r="A2" s="155"/>
      <c r="B2" s="155"/>
      <c r="C2" s="156"/>
      <c r="D2" s="156"/>
      <c r="E2" s="157"/>
      <c r="F2" s="92"/>
      <c r="G2" s="158"/>
      <c r="H2" s="92"/>
      <c r="I2" s="159"/>
      <c r="J2" s="155"/>
      <c r="N2" s="160"/>
      <c r="P2" s="160"/>
      <c r="R2" s="161"/>
      <c r="S2" s="162"/>
      <c r="U2" s="160"/>
      <c r="W2" s="162"/>
      <c r="AA2" s="163"/>
      <c r="AB2" s="163"/>
      <c r="AC2" s="163"/>
      <c r="AD2" s="163"/>
      <c r="AE2" s="163"/>
      <c r="AF2" s="157"/>
      <c r="AH2" s="157"/>
    </row>
    <row r="3" spans="1:39" x14ac:dyDescent="0.25">
      <c r="A3" s="40" t="s">
        <v>102</v>
      </c>
      <c r="B3" s="65">
        <v>45500</v>
      </c>
      <c r="AA3"/>
    </row>
    <row r="4" spans="1:39" x14ac:dyDescent="0.25">
      <c r="A4" s="280" t="s">
        <v>300</v>
      </c>
      <c r="B4" s="65"/>
      <c r="AA4"/>
    </row>
    <row r="5" spans="1:39" x14ac:dyDescent="0.25">
      <c r="A5" s="40"/>
      <c r="B5" s="65"/>
      <c r="AA5"/>
    </row>
    <row r="6" spans="1:39" x14ac:dyDescent="0.25">
      <c r="A6" s="40"/>
      <c r="B6" s="34" t="s">
        <v>169</v>
      </c>
      <c r="C6" s="144"/>
      <c r="D6" s="72" t="s">
        <v>127</v>
      </c>
      <c r="E6" s="45"/>
      <c r="AA6"/>
    </row>
    <row r="7" spans="1:39" x14ac:dyDescent="0.25">
      <c r="A7" s="40"/>
      <c r="B7" s="145" t="s">
        <v>168</v>
      </c>
      <c r="C7" s="144"/>
      <c r="D7" s="73" t="s">
        <v>101</v>
      </c>
      <c r="E7" s="45"/>
      <c r="H7" s="45"/>
      <c r="W7" s="68"/>
    </row>
    <row r="8" spans="1:39" x14ac:dyDescent="0.25">
      <c r="A8" s="40"/>
      <c r="B8" s="34" t="s">
        <v>170</v>
      </c>
      <c r="C8" s="144"/>
      <c r="D8" s="74" t="s">
        <v>126</v>
      </c>
      <c r="E8" s="45"/>
    </row>
    <row r="9" spans="1:39" x14ac:dyDescent="0.25">
      <c r="C9" s="40"/>
    </row>
    <row r="10" spans="1:39" s="79" customFormat="1" ht="30.75" thickBot="1" x14ac:dyDescent="0.3">
      <c r="A10" s="75"/>
      <c r="B10" s="76" t="s">
        <v>32</v>
      </c>
      <c r="C10" s="76" t="s">
        <v>33</v>
      </c>
      <c r="D10" s="76" t="s">
        <v>93</v>
      </c>
      <c r="E10" s="318" t="s">
        <v>36</v>
      </c>
      <c r="F10" s="318"/>
      <c r="G10" s="318"/>
      <c r="H10" s="318"/>
      <c r="I10" s="319" t="s">
        <v>30</v>
      </c>
      <c r="J10" s="319"/>
      <c r="K10" s="319"/>
      <c r="L10" s="319"/>
      <c r="M10" s="319"/>
      <c r="N10" s="317" t="s">
        <v>39</v>
      </c>
      <c r="O10" s="317"/>
      <c r="P10" s="317"/>
      <c r="Q10" s="317"/>
      <c r="R10" s="77" t="s">
        <v>40</v>
      </c>
      <c r="S10" s="318" t="s">
        <v>125</v>
      </c>
      <c r="T10" s="318"/>
      <c r="U10" s="318"/>
      <c r="V10" s="318"/>
      <c r="W10" s="318" t="s">
        <v>118</v>
      </c>
      <c r="X10" s="318"/>
      <c r="Y10" s="318"/>
      <c r="Z10" s="318"/>
      <c r="AA10" s="78" t="s">
        <v>49</v>
      </c>
      <c r="AB10" s="316" t="s">
        <v>155</v>
      </c>
      <c r="AC10" s="316"/>
      <c r="AD10" s="316"/>
      <c r="AE10" s="316"/>
      <c r="AF10" s="315" t="s">
        <v>67</v>
      </c>
      <c r="AG10" s="315"/>
      <c r="AH10" s="315"/>
      <c r="AI10" s="315"/>
      <c r="AJ10" s="318" t="s">
        <v>43</v>
      </c>
      <c r="AK10" s="318"/>
      <c r="AL10" s="318"/>
      <c r="AM10" s="318"/>
    </row>
    <row r="11" spans="1:39" s="91" customFormat="1" ht="16.5" thickTop="1" thickBot="1" x14ac:dyDescent="0.3">
      <c r="A11" s="80"/>
      <c r="B11" s="81"/>
      <c r="C11" s="81"/>
      <c r="D11" s="81"/>
      <c r="E11" s="89" t="s">
        <v>4</v>
      </c>
      <c r="F11" s="82"/>
      <c r="G11" s="135" t="s">
        <v>37</v>
      </c>
      <c r="H11" s="82"/>
      <c r="I11" s="83" t="s">
        <v>25</v>
      </c>
      <c r="J11" s="82" t="s">
        <v>33</v>
      </c>
      <c r="K11" s="84"/>
      <c r="L11" s="84"/>
      <c r="M11" s="84"/>
      <c r="N11" s="85" t="s">
        <v>4</v>
      </c>
      <c r="O11" s="84"/>
      <c r="P11" s="85" t="s">
        <v>37</v>
      </c>
      <c r="Q11" s="84"/>
      <c r="R11" s="86" t="s">
        <v>25</v>
      </c>
      <c r="S11" s="87" t="s">
        <v>4</v>
      </c>
      <c r="T11" s="84"/>
      <c r="U11" s="85" t="s">
        <v>37</v>
      </c>
      <c r="V11" s="84"/>
      <c r="W11" s="87" t="s">
        <v>4</v>
      </c>
      <c r="X11" s="84"/>
      <c r="Y11" s="85" t="s">
        <v>37</v>
      </c>
      <c r="Z11" s="84"/>
      <c r="AA11" s="88"/>
      <c r="AB11" s="87" t="s">
        <v>4</v>
      </c>
      <c r="AC11" s="84"/>
      <c r="AD11" s="85" t="s">
        <v>37</v>
      </c>
      <c r="AE11" s="84"/>
      <c r="AF11" s="84"/>
      <c r="AG11" s="84"/>
      <c r="AH11" s="84"/>
      <c r="AI11" s="84"/>
      <c r="AJ11" s="89" t="s">
        <v>4</v>
      </c>
      <c r="AK11" s="84"/>
      <c r="AL11" s="89" t="s">
        <v>37</v>
      </c>
      <c r="AM11" s="90"/>
    </row>
    <row r="12" spans="1:39" s="99" customFormat="1" x14ac:dyDescent="0.25">
      <c r="A12" s="92"/>
      <c r="B12" s="93" t="s">
        <v>208</v>
      </c>
      <c r="C12" s="94"/>
      <c r="D12" s="94"/>
      <c r="E12" s="95"/>
      <c r="F12" s="96"/>
      <c r="G12" s="95"/>
      <c r="H12" s="97"/>
      <c r="I12" s="96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8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</row>
    <row r="13" spans="1:39" ht="16.5" x14ac:dyDescent="0.25">
      <c r="B13" s="40" t="s">
        <v>34</v>
      </c>
      <c r="C13" s="41" t="s">
        <v>35</v>
      </c>
      <c r="D13" s="41" t="s">
        <v>104</v>
      </c>
      <c r="E13" s="100">
        <v>1.44</v>
      </c>
      <c r="F13" s="40" t="s">
        <v>6</v>
      </c>
      <c r="G13" s="101">
        <f>E13*lbs_in3</f>
        <v>5.2022880000000001E-2</v>
      </c>
      <c r="H13" s="40" t="s">
        <v>142</v>
      </c>
      <c r="I13" s="102">
        <v>4.4999999999999998E-2</v>
      </c>
      <c r="J13" s="40" t="s">
        <v>48</v>
      </c>
      <c r="N13" s="103">
        <v>2920</v>
      </c>
      <c r="O13" s="45" t="s">
        <v>2</v>
      </c>
      <c r="P13" s="137">
        <f>N13*PSI</f>
        <v>423510.19495999999</v>
      </c>
      <c r="Q13" s="45" t="s">
        <v>38</v>
      </c>
      <c r="R13" s="105">
        <v>3.5999999999999997E-2</v>
      </c>
      <c r="S13" s="106">
        <v>70.5</v>
      </c>
      <c r="T13" s="45" t="s">
        <v>41</v>
      </c>
      <c r="U13" s="137">
        <f>S13*PSI</f>
        <v>10225.160528999999</v>
      </c>
      <c r="V13" s="45" t="s">
        <v>42</v>
      </c>
      <c r="W13" s="50">
        <v>7</v>
      </c>
      <c r="X13" s="45" t="s">
        <v>41</v>
      </c>
      <c r="Y13" s="138">
        <f>W13*PSI</f>
        <v>1015.2641659999999</v>
      </c>
      <c r="Z13" s="45" t="s">
        <v>42</v>
      </c>
      <c r="AA13" s="107">
        <v>0.36</v>
      </c>
      <c r="AB13" s="108">
        <v>12</v>
      </c>
      <c r="AC13" s="45" t="s">
        <v>41</v>
      </c>
      <c r="AD13" s="137">
        <f>AB13*PSI</f>
        <v>1740.4528559999999</v>
      </c>
      <c r="AE13" s="45" t="s">
        <v>42</v>
      </c>
      <c r="AF13" s="104">
        <f>AH13*(1/0.9)</f>
        <v>1666.6666666666667</v>
      </c>
      <c r="AG13" s="45" t="s">
        <v>55</v>
      </c>
      <c r="AH13" s="109">
        <v>1500</v>
      </c>
      <c r="AI13" s="45" t="s">
        <v>56</v>
      </c>
      <c r="AJ13" s="107">
        <v>2.0299999999999998</v>
      </c>
      <c r="AK13" s="45" t="s">
        <v>44</v>
      </c>
      <c r="AL13" s="110">
        <f>AJ13*11.33</f>
        <v>22.999899999999997</v>
      </c>
      <c r="AM13" s="45" t="s">
        <v>45</v>
      </c>
    </row>
    <row r="14" spans="1:39" ht="16.5" x14ac:dyDescent="0.25">
      <c r="B14" s="40" t="s">
        <v>46</v>
      </c>
      <c r="C14" s="41" t="s">
        <v>47</v>
      </c>
      <c r="D14" s="41" t="s">
        <v>104</v>
      </c>
      <c r="E14" s="42">
        <v>1.44</v>
      </c>
      <c r="F14" s="40" t="s">
        <v>6</v>
      </c>
      <c r="G14" s="43">
        <f>E14*lbs_in3</f>
        <v>5.2022880000000001E-2</v>
      </c>
      <c r="H14" s="40" t="s">
        <v>142</v>
      </c>
      <c r="I14" s="44">
        <v>3.5000000000000003E-2</v>
      </c>
      <c r="J14" s="40" t="s">
        <v>68</v>
      </c>
      <c r="N14" s="46">
        <v>3000</v>
      </c>
      <c r="O14" s="45" t="s">
        <v>2</v>
      </c>
      <c r="P14" s="138">
        <f>N14*PSI</f>
        <v>435113.21399999998</v>
      </c>
      <c r="Q14" s="45" t="s">
        <v>38</v>
      </c>
      <c r="R14" s="48">
        <v>2.4E-2</v>
      </c>
      <c r="S14" s="49">
        <v>112.4</v>
      </c>
      <c r="T14" s="45" t="s">
        <v>41</v>
      </c>
      <c r="U14" s="138">
        <f>S14*PSI</f>
        <v>16302.241751199999</v>
      </c>
      <c r="V14" s="45" t="s">
        <v>42</v>
      </c>
      <c r="W14" s="50">
        <v>7</v>
      </c>
      <c r="X14" s="45" t="s">
        <v>41</v>
      </c>
      <c r="Y14" s="138">
        <f>W14*PSI</f>
        <v>1015.2641659999999</v>
      </c>
      <c r="Z14" s="45" t="s">
        <v>42</v>
      </c>
      <c r="AA14" s="111">
        <v>0.36</v>
      </c>
      <c r="AB14" s="108">
        <v>12</v>
      </c>
      <c r="AC14" s="45" t="s">
        <v>41</v>
      </c>
      <c r="AD14" s="138">
        <f>AB14*PSI</f>
        <v>1740.4528559999999</v>
      </c>
      <c r="AE14" s="45" t="s">
        <v>42</v>
      </c>
      <c r="AF14" s="47">
        <f>AH14*(1/0.9)</f>
        <v>1266.6666666666667</v>
      </c>
      <c r="AG14" s="45" t="s">
        <v>55</v>
      </c>
      <c r="AH14" s="112">
        <v>1140</v>
      </c>
      <c r="AI14" s="45" t="s">
        <v>56</v>
      </c>
      <c r="AJ14" s="111">
        <v>2.08</v>
      </c>
      <c r="AK14" s="45" t="s">
        <v>44</v>
      </c>
      <c r="AL14" s="113">
        <f>AJ14*11.33</f>
        <v>23.566400000000002</v>
      </c>
      <c r="AM14" s="45" t="s">
        <v>45</v>
      </c>
    </row>
    <row r="15" spans="1:39" ht="16.5" x14ac:dyDescent="0.25">
      <c r="B15" s="40" t="s">
        <v>157</v>
      </c>
      <c r="C15" s="41" t="s">
        <v>128</v>
      </c>
      <c r="D15" s="41" t="s">
        <v>246</v>
      </c>
      <c r="E15" s="42">
        <v>1.4670000000000001</v>
      </c>
      <c r="F15" s="40" t="s">
        <v>6</v>
      </c>
      <c r="G15" s="43">
        <f>E15*lbs_in3</f>
        <v>5.2998309E-2</v>
      </c>
      <c r="H15" s="40" t="s">
        <v>142</v>
      </c>
      <c r="I15" s="114"/>
      <c r="N15" s="46">
        <v>2757.9</v>
      </c>
      <c r="O15" s="45" t="s">
        <v>2</v>
      </c>
      <c r="P15" s="138">
        <f>N15*PSI</f>
        <v>399999.57763019996</v>
      </c>
      <c r="Q15" s="45" t="s">
        <v>38</v>
      </c>
      <c r="R15" s="115">
        <v>2.4E-2</v>
      </c>
      <c r="S15" s="49">
        <v>151.69999999999999</v>
      </c>
      <c r="T15" s="45" t="s">
        <v>41</v>
      </c>
      <c r="U15" s="138">
        <f>S15*PSI</f>
        <v>22002.224854599997</v>
      </c>
      <c r="V15" s="45" t="s">
        <v>42</v>
      </c>
      <c r="W15" s="50">
        <v>7</v>
      </c>
      <c r="X15" s="45" t="s">
        <v>41</v>
      </c>
      <c r="Y15" s="138">
        <f>W15*PSI</f>
        <v>1015.2641659999999</v>
      </c>
      <c r="Z15" s="45" t="s">
        <v>42</v>
      </c>
      <c r="AA15" s="111">
        <v>0.35</v>
      </c>
      <c r="AB15" s="108">
        <v>12</v>
      </c>
      <c r="AC15" s="45" t="s">
        <v>41</v>
      </c>
      <c r="AD15" s="138">
        <f>AB15*PSI</f>
        <v>1740.4528559999999</v>
      </c>
      <c r="AE15" s="45" t="s">
        <v>42</v>
      </c>
      <c r="AF15" s="45"/>
      <c r="AH15" s="45"/>
    </row>
    <row r="16" spans="1:39" ht="16.5" x14ac:dyDescent="0.25">
      <c r="B16" s="40" t="s">
        <v>123</v>
      </c>
      <c r="C16" s="41" t="s">
        <v>129</v>
      </c>
      <c r="D16" s="41" t="s">
        <v>130</v>
      </c>
      <c r="E16" s="42">
        <v>1.45</v>
      </c>
      <c r="F16" s="40" t="s">
        <v>6</v>
      </c>
      <c r="G16" s="43">
        <f>E16*lbs_in3</f>
        <v>5.2384149999999997E-2</v>
      </c>
      <c r="H16" s="40" t="s">
        <v>142</v>
      </c>
      <c r="I16" s="114"/>
      <c r="N16" s="114"/>
      <c r="P16" s="139"/>
      <c r="R16" s="45"/>
      <c r="S16" s="49">
        <v>130</v>
      </c>
      <c r="T16" s="45" t="s">
        <v>41</v>
      </c>
      <c r="U16" s="138">
        <f>S16*PSI</f>
        <v>18854.905939999997</v>
      </c>
      <c r="V16" s="45" t="s">
        <v>42</v>
      </c>
      <c r="W16" s="49">
        <v>5.4</v>
      </c>
      <c r="X16" s="45" t="s">
        <v>41</v>
      </c>
      <c r="Y16" s="138">
        <f>W16*PSI</f>
        <v>783.20378519999997</v>
      </c>
      <c r="Z16" s="45" t="s">
        <v>42</v>
      </c>
      <c r="AA16" s="111">
        <v>0.35</v>
      </c>
      <c r="AB16" s="116">
        <v>12</v>
      </c>
      <c r="AC16" s="45" t="s">
        <v>41</v>
      </c>
      <c r="AD16" s="138">
        <f>AB16*PSI</f>
        <v>1740.4528559999999</v>
      </c>
      <c r="AE16" s="45" t="s">
        <v>42</v>
      </c>
    </row>
    <row r="17" spans="2:39" x14ac:dyDescent="0.25">
      <c r="B17" s="93" t="s">
        <v>209</v>
      </c>
      <c r="C17" s="117"/>
      <c r="D17" s="117"/>
      <c r="E17" s="118"/>
      <c r="F17" s="119"/>
      <c r="G17" s="120"/>
      <c r="H17" s="119"/>
      <c r="I17" s="121"/>
      <c r="J17" s="119"/>
      <c r="K17" s="122"/>
      <c r="L17" s="122"/>
      <c r="M17" s="122"/>
      <c r="N17" s="123"/>
      <c r="O17" s="122"/>
      <c r="P17" s="140"/>
      <c r="Q17" s="122"/>
      <c r="R17" s="124"/>
      <c r="S17" s="125"/>
      <c r="T17" s="122"/>
      <c r="U17" s="140"/>
      <c r="V17" s="122"/>
      <c r="W17" s="126"/>
      <c r="X17" s="122"/>
      <c r="Y17" s="140"/>
      <c r="Z17" s="122"/>
      <c r="AA17" s="127"/>
      <c r="AB17" s="126"/>
      <c r="AC17" s="122"/>
      <c r="AD17" s="140"/>
      <c r="AE17" s="122"/>
      <c r="AF17" s="127"/>
      <c r="AG17" s="122"/>
      <c r="AH17" s="127"/>
      <c r="AI17" s="122"/>
      <c r="AJ17" s="122"/>
      <c r="AK17" s="122"/>
      <c r="AL17" s="122"/>
      <c r="AM17" s="122"/>
    </row>
    <row r="18" spans="2:39" ht="18" x14ac:dyDescent="0.25">
      <c r="B18" s="40" t="s">
        <v>98</v>
      </c>
      <c r="C18" s="153" t="s">
        <v>179</v>
      </c>
      <c r="D18" s="41" t="s">
        <v>145</v>
      </c>
      <c r="E18" s="100">
        <f>(2.54+2.6)/2</f>
        <v>2.5700000000000003</v>
      </c>
      <c r="F18" s="40" t="s">
        <v>6</v>
      </c>
      <c r="G18" s="101">
        <f>E18*lbs_in3</f>
        <v>9.2846390000000015E-2</v>
      </c>
      <c r="H18" s="40" t="s">
        <v>142</v>
      </c>
      <c r="I18" s="102">
        <v>0</v>
      </c>
      <c r="N18" s="103">
        <f>(3450+3790)/2</f>
        <v>3620</v>
      </c>
      <c r="O18" s="45" t="s">
        <v>2</v>
      </c>
      <c r="P18" s="137">
        <f>N18*PSI</f>
        <v>525036.61155999999</v>
      </c>
      <c r="Q18" s="45" t="s">
        <v>38</v>
      </c>
      <c r="R18" s="105">
        <v>4.8000000000000001E-2</v>
      </c>
      <c r="S18" s="106">
        <v>72.400000000000006</v>
      </c>
      <c r="T18" s="45" t="s">
        <v>41</v>
      </c>
      <c r="U18" s="137">
        <f>S18*PSI</f>
        <v>10500.7322312</v>
      </c>
      <c r="V18" s="45" t="s">
        <v>42</v>
      </c>
      <c r="W18" s="50">
        <f>S18</f>
        <v>72.400000000000006</v>
      </c>
      <c r="X18" s="45" t="s">
        <v>41</v>
      </c>
      <c r="Y18" s="138">
        <f>W18*PSI</f>
        <v>10500.7322312</v>
      </c>
      <c r="Z18" s="45" t="s">
        <v>42</v>
      </c>
      <c r="AA18" s="51">
        <v>0.22</v>
      </c>
      <c r="AB18" s="128">
        <f>S18/(2*(1+AA18))</f>
        <v>29.672131147540988</v>
      </c>
      <c r="AC18" s="45" t="s">
        <v>41</v>
      </c>
      <c r="AD18" s="137">
        <f>AB18*PSI</f>
        <v>4303.5787832786891</v>
      </c>
      <c r="AE18" s="45" t="s">
        <v>42</v>
      </c>
    </row>
    <row r="19" spans="2:39" ht="18" x14ac:dyDescent="0.25">
      <c r="B19" s="40" t="s">
        <v>100</v>
      </c>
      <c r="C19" s="41" t="s">
        <v>99</v>
      </c>
      <c r="D19" s="41" t="s">
        <v>145</v>
      </c>
      <c r="E19" s="42">
        <v>2.6240000000000001</v>
      </c>
      <c r="F19" s="40" t="s">
        <v>6</v>
      </c>
      <c r="G19" s="43">
        <f>E19*lbs_in3</f>
        <v>9.4797248000000001E-2</v>
      </c>
      <c r="H19" s="40" t="s">
        <v>142</v>
      </c>
      <c r="I19" s="44">
        <v>0</v>
      </c>
      <c r="N19" s="46">
        <f>(3200+3750)/2</f>
        <v>3475</v>
      </c>
      <c r="O19" s="45" t="s">
        <v>2</v>
      </c>
      <c r="P19" s="138">
        <f>N19*PSI</f>
        <v>504006.13954999996</v>
      </c>
      <c r="Q19" s="45" t="s">
        <v>38</v>
      </c>
      <c r="R19" s="48">
        <v>4.4999999999999998E-2</v>
      </c>
      <c r="S19" s="49">
        <v>80</v>
      </c>
      <c r="T19" s="45" t="s">
        <v>41</v>
      </c>
      <c r="U19" s="138">
        <f>S19*PSI</f>
        <v>11603.019039999999</v>
      </c>
      <c r="V19" s="45" t="s">
        <v>42</v>
      </c>
      <c r="W19" s="50">
        <f t="shared" ref="W19:W20" si="0">S19</f>
        <v>80</v>
      </c>
      <c r="X19" s="45" t="s">
        <v>41</v>
      </c>
      <c r="Y19" s="138">
        <f>W19*PSI</f>
        <v>11603.019039999999</v>
      </c>
      <c r="Z19" s="45" t="s">
        <v>42</v>
      </c>
      <c r="AA19" s="51">
        <v>0.22</v>
      </c>
      <c r="AB19" s="52">
        <f>S19/(2*(1+AA19))</f>
        <v>32.786885245901637</v>
      </c>
      <c r="AC19" s="45" t="s">
        <v>41</v>
      </c>
      <c r="AD19" s="138">
        <f>AB19*PSI</f>
        <v>4755.3356721311466</v>
      </c>
      <c r="AE19" s="45" t="s">
        <v>42</v>
      </c>
    </row>
    <row r="20" spans="2:39" ht="16.5" x14ac:dyDescent="0.25">
      <c r="B20" s="40" t="s">
        <v>96</v>
      </c>
      <c r="C20" s="41" t="s">
        <v>50</v>
      </c>
      <c r="D20" s="41" t="s">
        <v>97</v>
      </c>
      <c r="E20" s="42">
        <f>(2.46+2.49)/2</f>
        <v>2.4750000000000001</v>
      </c>
      <c r="F20" s="40" t="s">
        <v>6</v>
      </c>
      <c r="G20" s="43">
        <f>E20*lbs_in3</f>
        <v>8.9414325000000003E-2</v>
      </c>
      <c r="H20" s="40" t="s">
        <v>142</v>
      </c>
      <c r="I20" s="44">
        <v>0</v>
      </c>
      <c r="N20" s="46">
        <f>(4590+4830)/2</f>
        <v>4710</v>
      </c>
      <c r="O20" s="45" t="s">
        <v>2</v>
      </c>
      <c r="P20" s="138">
        <f>N20*PSI</f>
        <v>683127.74598000001</v>
      </c>
      <c r="Q20" s="45" t="s">
        <v>38</v>
      </c>
      <c r="R20" s="48">
        <f>0.01*(5.4+5.8)/2</f>
        <v>5.5999999999999994E-2</v>
      </c>
      <c r="S20" s="49">
        <f>(86+90)/2</f>
        <v>88</v>
      </c>
      <c r="T20" s="45" t="s">
        <v>41</v>
      </c>
      <c r="U20" s="138">
        <f>S20*PSI</f>
        <v>12763.320943999999</v>
      </c>
      <c r="V20" s="45" t="s">
        <v>42</v>
      </c>
      <c r="W20" s="50">
        <f t="shared" si="0"/>
        <v>88</v>
      </c>
      <c r="X20" s="45" t="s">
        <v>41</v>
      </c>
      <c r="Y20" s="138">
        <f>W20*PSI</f>
        <v>12763.320943999999</v>
      </c>
      <c r="Z20" s="45" t="s">
        <v>42</v>
      </c>
      <c r="AA20" s="111">
        <v>0.23</v>
      </c>
      <c r="AB20" s="52">
        <f>S20/(2*(1+AA20))</f>
        <v>35.772357723577237</v>
      </c>
      <c r="AC20" s="45" t="s">
        <v>41</v>
      </c>
      <c r="AD20" s="138">
        <f>AB20*PSI</f>
        <v>5188.341847154471</v>
      </c>
      <c r="AE20" s="45" t="s">
        <v>42</v>
      </c>
    </row>
    <row r="21" spans="2:39" ht="16.5" x14ac:dyDescent="0.25">
      <c r="B21" s="40" t="s">
        <v>124</v>
      </c>
      <c r="C21" s="41" t="s">
        <v>129</v>
      </c>
      <c r="D21" s="41" t="s">
        <v>130</v>
      </c>
      <c r="E21" s="42">
        <v>2.54</v>
      </c>
      <c r="F21" s="40" t="s">
        <v>6</v>
      </c>
      <c r="G21" s="43">
        <f>E21*lbs_in3</f>
        <v>9.1762579999999996E-2</v>
      </c>
      <c r="H21" s="40" t="s">
        <v>142</v>
      </c>
      <c r="I21" s="114"/>
      <c r="N21" s="114"/>
      <c r="P21" s="139"/>
      <c r="R21" s="45"/>
      <c r="S21" s="49">
        <v>73</v>
      </c>
      <c r="T21" s="45" t="s">
        <v>41</v>
      </c>
      <c r="U21" s="138">
        <f>S21*PSI</f>
        <v>10587.754873999998</v>
      </c>
      <c r="V21" s="45" t="s">
        <v>42</v>
      </c>
      <c r="W21" s="49">
        <v>73</v>
      </c>
      <c r="X21" s="45" t="s">
        <v>41</v>
      </c>
      <c r="Y21" s="138">
        <f>W21*PSI</f>
        <v>10587.754873999998</v>
      </c>
      <c r="Z21" s="45" t="s">
        <v>42</v>
      </c>
      <c r="AA21" s="111">
        <v>0.18</v>
      </c>
      <c r="AB21" s="116">
        <v>30</v>
      </c>
      <c r="AC21" s="45" t="s">
        <v>41</v>
      </c>
      <c r="AD21" s="138">
        <f>AB21*PSI</f>
        <v>4351.1321399999997</v>
      </c>
      <c r="AE21" s="45" t="s">
        <v>42</v>
      </c>
    </row>
    <row r="22" spans="2:39" x14ac:dyDescent="0.25">
      <c r="B22" s="93" t="s">
        <v>210</v>
      </c>
      <c r="C22" s="117"/>
      <c r="D22" s="117"/>
      <c r="E22" s="118"/>
      <c r="F22" s="119"/>
      <c r="G22" s="120"/>
      <c r="H22" s="119"/>
      <c r="I22" s="129"/>
      <c r="J22" s="119"/>
      <c r="K22" s="122"/>
      <c r="L22" s="122"/>
      <c r="M22" s="122"/>
      <c r="N22" s="123"/>
      <c r="O22" s="122"/>
      <c r="P22" s="140"/>
      <c r="Q22" s="122"/>
      <c r="R22" s="124"/>
      <c r="S22" s="125"/>
      <c r="T22" s="122"/>
      <c r="U22" s="140"/>
      <c r="V22" s="122"/>
      <c r="W22" s="126"/>
      <c r="X22" s="122"/>
      <c r="Y22" s="140"/>
      <c r="Z22" s="122"/>
      <c r="AA22" s="127"/>
      <c r="AB22" s="130"/>
      <c r="AC22" s="130"/>
      <c r="AD22" s="140"/>
      <c r="AE22" s="130"/>
      <c r="AF22" s="127"/>
      <c r="AG22" s="122"/>
      <c r="AH22" s="127"/>
      <c r="AI22" s="122"/>
      <c r="AJ22" s="122"/>
      <c r="AK22" s="122"/>
      <c r="AL22" s="122"/>
      <c r="AM22" s="122"/>
    </row>
    <row r="23" spans="2:39" ht="16.5" x14ac:dyDescent="0.25">
      <c r="B23" s="40" t="s">
        <v>52</v>
      </c>
      <c r="C23" s="41" t="s">
        <v>53</v>
      </c>
      <c r="D23" s="41" t="s">
        <v>95</v>
      </c>
      <c r="E23" s="100">
        <v>1.79</v>
      </c>
      <c r="F23" s="40" t="s">
        <v>6</v>
      </c>
      <c r="G23" s="101">
        <f>E23*lbs_in3</f>
        <v>6.4667329999999995E-2</v>
      </c>
      <c r="H23" s="40" t="s">
        <v>142</v>
      </c>
      <c r="I23" s="131"/>
      <c r="N23" s="103">
        <v>4501</v>
      </c>
      <c r="O23" s="45" t="s">
        <v>2</v>
      </c>
      <c r="P23" s="137">
        <f>N23*PSI</f>
        <v>652814.85873799992</v>
      </c>
      <c r="Q23" s="45" t="s">
        <v>38</v>
      </c>
      <c r="R23" s="105">
        <v>1.7999999999999999E-2</v>
      </c>
      <c r="S23" s="106">
        <v>231</v>
      </c>
      <c r="T23" s="45" t="s">
        <v>41</v>
      </c>
      <c r="U23" s="137">
        <f>S23*PSI</f>
        <v>33503.717477999999</v>
      </c>
      <c r="V23" s="45" t="s">
        <v>42</v>
      </c>
      <c r="W23" s="108">
        <v>15</v>
      </c>
      <c r="X23" s="45" t="s">
        <v>41</v>
      </c>
      <c r="Y23" s="138">
        <f t="shared" ref="Y23:Y33" si="1">W23*PSI</f>
        <v>2175.5660699999999</v>
      </c>
      <c r="Z23" s="45" t="s">
        <v>42</v>
      </c>
      <c r="AA23" s="51">
        <v>0.27</v>
      </c>
      <c r="AB23" s="50">
        <v>23</v>
      </c>
      <c r="AC23" s="45" t="s">
        <v>41</v>
      </c>
      <c r="AD23" s="137">
        <f>AB23*PSI</f>
        <v>3335.8679739999998</v>
      </c>
      <c r="AE23" s="45" t="s">
        <v>42</v>
      </c>
    </row>
    <row r="24" spans="2:39" ht="16.5" x14ac:dyDescent="0.25">
      <c r="B24" s="40" t="s">
        <v>59</v>
      </c>
      <c r="C24" s="41" t="s">
        <v>54</v>
      </c>
      <c r="D24" s="41" t="s">
        <v>94</v>
      </c>
      <c r="E24" s="42">
        <v>1.78</v>
      </c>
      <c r="F24" s="40" t="s">
        <v>6</v>
      </c>
      <c r="G24" s="43">
        <f t="shared" ref="G24:G31" si="2">E24*lbs_in3</f>
        <v>6.4306059999999998E-2</v>
      </c>
      <c r="H24" s="40" t="s">
        <v>142</v>
      </c>
      <c r="I24" s="131"/>
      <c r="N24" s="46">
        <v>3930</v>
      </c>
      <c r="O24" s="45" t="s">
        <v>2</v>
      </c>
      <c r="P24" s="138">
        <f t="shared" ref="P24:P31" si="3">N24*PSI</f>
        <v>569998.31033999997</v>
      </c>
      <c r="Q24" s="45" t="s">
        <v>38</v>
      </c>
      <c r="R24" s="48">
        <v>1.6500000000000001E-2</v>
      </c>
      <c r="S24" s="49">
        <v>234</v>
      </c>
      <c r="T24" s="45" t="s">
        <v>41</v>
      </c>
      <c r="U24" s="138">
        <f t="shared" ref="U24:U31" si="4">S24*PSI</f>
        <v>33938.830691999996</v>
      </c>
      <c r="V24" s="45" t="s">
        <v>42</v>
      </c>
      <c r="W24" s="108">
        <v>15</v>
      </c>
      <c r="X24" s="45" t="s">
        <v>41</v>
      </c>
      <c r="Y24" s="138">
        <f t="shared" si="1"/>
        <v>2175.5660699999999</v>
      </c>
      <c r="Z24" s="45" t="s">
        <v>42</v>
      </c>
      <c r="AA24" s="51">
        <v>0.27</v>
      </c>
      <c r="AB24" s="50">
        <v>23</v>
      </c>
      <c r="AC24" s="45" t="s">
        <v>41</v>
      </c>
      <c r="AD24" s="138">
        <f t="shared" ref="AD24:AD31" si="5">AB24*PSI</f>
        <v>3335.8679739999998</v>
      </c>
      <c r="AE24" s="45" t="s">
        <v>42</v>
      </c>
      <c r="AF24" s="112">
        <v>680</v>
      </c>
      <c r="AG24" s="45" t="s">
        <v>55</v>
      </c>
      <c r="AH24" s="47">
        <f t="shared" ref="AH24:AH31" si="6">0.9*AF24</f>
        <v>612</v>
      </c>
      <c r="AI24" s="45" t="s">
        <v>56</v>
      </c>
    </row>
    <row r="25" spans="2:39" ht="16.5" x14ac:dyDescent="0.25">
      <c r="B25" s="40" t="s">
        <v>61</v>
      </c>
      <c r="C25" s="41" t="s">
        <v>54</v>
      </c>
      <c r="D25" s="41" t="s">
        <v>94</v>
      </c>
      <c r="E25" s="42">
        <v>1.78</v>
      </c>
      <c r="F25" s="40" t="s">
        <v>6</v>
      </c>
      <c r="G25" s="43">
        <f t="shared" si="2"/>
        <v>6.4306059999999998E-2</v>
      </c>
      <c r="H25" s="40" t="s">
        <v>142</v>
      </c>
      <c r="I25" s="131"/>
      <c r="N25" s="46">
        <v>3930</v>
      </c>
      <c r="O25" s="45" t="s">
        <v>2</v>
      </c>
      <c r="P25" s="138">
        <f t="shared" si="3"/>
        <v>569998.31033999997</v>
      </c>
      <c r="Q25" s="45" t="s">
        <v>38</v>
      </c>
      <c r="R25" s="48">
        <v>1.6500000000000001E-2</v>
      </c>
      <c r="S25" s="49">
        <v>234</v>
      </c>
      <c r="T25" s="45" t="s">
        <v>41</v>
      </c>
      <c r="U25" s="138">
        <f t="shared" si="4"/>
        <v>33938.830691999996</v>
      </c>
      <c r="V25" s="45" t="s">
        <v>42</v>
      </c>
      <c r="W25" s="108">
        <v>15</v>
      </c>
      <c r="X25" s="45" t="s">
        <v>41</v>
      </c>
      <c r="Y25" s="138">
        <f t="shared" si="1"/>
        <v>2175.5660699999999</v>
      </c>
      <c r="Z25" s="45" t="s">
        <v>42</v>
      </c>
      <c r="AA25" s="51">
        <v>0.27</v>
      </c>
      <c r="AB25" s="50">
        <v>23</v>
      </c>
      <c r="AC25" s="45" t="s">
        <v>41</v>
      </c>
      <c r="AD25" s="138">
        <f t="shared" si="5"/>
        <v>3335.8679739999998</v>
      </c>
      <c r="AE25" s="45" t="s">
        <v>42</v>
      </c>
      <c r="AF25" s="112">
        <v>2020</v>
      </c>
      <c r="AG25" s="45" t="s">
        <v>55</v>
      </c>
      <c r="AH25" s="47">
        <f t="shared" si="6"/>
        <v>1818</v>
      </c>
      <c r="AI25" s="45" t="s">
        <v>56</v>
      </c>
    </row>
    <row r="26" spans="2:39" ht="16.5" x14ac:dyDescent="0.25">
      <c r="B26" s="40" t="s">
        <v>62</v>
      </c>
      <c r="C26" s="41" t="s">
        <v>60</v>
      </c>
      <c r="D26" s="41" t="s">
        <v>94</v>
      </c>
      <c r="E26" s="42">
        <v>1.78</v>
      </c>
      <c r="F26" s="40" t="s">
        <v>6</v>
      </c>
      <c r="G26" s="43">
        <f t="shared" si="2"/>
        <v>6.4306059999999998E-2</v>
      </c>
      <c r="H26" s="40" t="s">
        <v>142</v>
      </c>
      <c r="I26" s="131"/>
      <c r="N26" s="46">
        <v>3930</v>
      </c>
      <c r="O26" s="45" t="s">
        <v>2</v>
      </c>
      <c r="P26" s="138">
        <f t="shared" si="3"/>
        <v>569998.31033999997</v>
      </c>
      <c r="Q26" s="45" t="s">
        <v>38</v>
      </c>
      <c r="R26" s="48">
        <v>1.6500000000000001E-2</v>
      </c>
      <c r="S26" s="49">
        <v>234</v>
      </c>
      <c r="T26" s="45" t="s">
        <v>41</v>
      </c>
      <c r="U26" s="138">
        <f t="shared" si="4"/>
        <v>33938.830691999996</v>
      </c>
      <c r="V26" s="45" t="s">
        <v>42</v>
      </c>
      <c r="W26" s="108">
        <v>15</v>
      </c>
      <c r="X26" s="45" t="s">
        <v>41</v>
      </c>
      <c r="Y26" s="138">
        <f t="shared" si="1"/>
        <v>2175.5660699999999</v>
      </c>
      <c r="Z26" s="45" t="s">
        <v>42</v>
      </c>
      <c r="AA26" s="51">
        <v>0.27</v>
      </c>
      <c r="AB26" s="50">
        <v>23</v>
      </c>
      <c r="AC26" s="45" t="s">
        <v>41</v>
      </c>
      <c r="AD26" s="138">
        <f t="shared" si="5"/>
        <v>3335.8679739999998</v>
      </c>
      <c r="AE26" s="45" t="s">
        <v>42</v>
      </c>
      <c r="AF26" s="112">
        <v>2020</v>
      </c>
      <c r="AG26" s="45" t="s">
        <v>55</v>
      </c>
      <c r="AH26" s="47">
        <f t="shared" si="6"/>
        <v>1818</v>
      </c>
      <c r="AI26" s="45" t="s">
        <v>56</v>
      </c>
    </row>
    <row r="27" spans="2:39" ht="16.5" x14ac:dyDescent="0.25">
      <c r="B27" s="40" t="s">
        <v>58</v>
      </c>
      <c r="C27" s="41" t="s">
        <v>60</v>
      </c>
      <c r="D27" s="41" t="s">
        <v>94</v>
      </c>
      <c r="E27" s="42">
        <v>1.75</v>
      </c>
      <c r="F27" s="40" t="s">
        <v>6</v>
      </c>
      <c r="G27" s="43">
        <f t="shared" si="2"/>
        <v>6.3222249999999994E-2</v>
      </c>
      <c r="H27" s="40" t="s">
        <v>142</v>
      </c>
      <c r="I27" s="131"/>
      <c r="N27" s="46">
        <v>4410</v>
      </c>
      <c r="O27" s="45" t="s">
        <v>2</v>
      </c>
      <c r="P27" s="138">
        <f t="shared" si="3"/>
        <v>639616.42457999999</v>
      </c>
      <c r="Q27" s="45" t="s">
        <v>38</v>
      </c>
      <c r="R27" s="48">
        <v>1.9E-2</v>
      </c>
      <c r="S27" s="49">
        <v>234</v>
      </c>
      <c r="T27" s="45" t="s">
        <v>41</v>
      </c>
      <c r="U27" s="138">
        <f t="shared" si="4"/>
        <v>33938.830691999996</v>
      </c>
      <c r="V27" s="45" t="s">
        <v>42</v>
      </c>
      <c r="W27" s="108">
        <v>15</v>
      </c>
      <c r="X27" s="45" t="s">
        <v>41</v>
      </c>
      <c r="Y27" s="138">
        <f t="shared" si="1"/>
        <v>2175.5660699999999</v>
      </c>
      <c r="Z27" s="45" t="s">
        <v>42</v>
      </c>
      <c r="AA27" s="51">
        <v>0.27</v>
      </c>
      <c r="AB27" s="50">
        <v>23</v>
      </c>
      <c r="AC27" s="45" t="s">
        <v>41</v>
      </c>
      <c r="AD27" s="138">
        <f t="shared" si="5"/>
        <v>3335.8679739999998</v>
      </c>
      <c r="AE27" s="45" t="s">
        <v>42</v>
      </c>
      <c r="AF27" s="112">
        <v>2020</v>
      </c>
      <c r="AG27" s="45" t="s">
        <v>55</v>
      </c>
      <c r="AH27" s="47">
        <f t="shared" si="6"/>
        <v>1818</v>
      </c>
      <c r="AI27" s="45" t="s">
        <v>56</v>
      </c>
    </row>
    <row r="28" spans="2:39" ht="16.5" x14ac:dyDescent="0.25">
      <c r="B28" s="40" t="s">
        <v>63</v>
      </c>
      <c r="C28" s="41" t="s">
        <v>60</v>
      </c>
      <c r="D28" s="41" t="s">
        <v>94</v>
      </c>
      <c r="E28" s="42">
        <v>1.78</v>
      </c>
      <c r="F28" s="40" t="s">
        <v>6</v>
      </c>
      <c r="G28" s="43">
        <f t="shared" si="2"/>
        <v>6.4306059999999998E-2</v>
      </c>
      <c r="H28" s="40" t="s">
        <v>142</v>
      </c>
      <c r="I28" s="131"/>
      <c r="N28" s="46">
        <v>3930</v>
      </c>
      <c r="O28" s="45" t="s">
        <v>2</v>
      </c>
      <c r="P28" s="138">
        <f t="shared" si="3"/>
        <v>569998.31033999997</v>
      </c>
      <c r="Q28" s="45" t="s">
        <v>38</v>
      </c>
      <c r="R28" s="48">
        <v>1.6500000000000001E-2</v>
      </c>
      <c r="S28" s="49">
        <v>234</v>
      </c>
      <c r="T28" s="45" t="s">
        <v>41</v>
      </c>
      <c r="U28" s="138">
        <f t="shared" si="4"/>
        <v>33938.830691999996</v>
      </c>
      <c r="V28" s="45" t="s">
        <v>42</v>
      </c>
      <c r="W28" s="108">
        <v>15</v>
      </c>
      <c r="X28" s="45" t="s">
        <v>41</v>
      </c>
      <c r="Y28" s="138">
        <f t="shared" si="1"/>
        <v>2175.5660699999999</v>
      </c>
      <c r="Z28" s="45" t="s">
        <v>42</v>
      </c>
      <c r="AA28" s="51">
        <v>0.27</v>
      </c>
      <c r="AB28" s="50">
        <v>23</v>
      </c>
      <c r="AC28" s="45" t="s">
        <v>41</v>
      </c>
      <c r="AD28" s="138">
        <f t="shared" si="5"/>
        <v>3335.8679739999998</v>
      </c>
      <c r="AE28" s="45" t="s">
        <v>42</v>
      </c>
      <c r="AF28" s="112">
        <v>4050</v>
      </c>
      <c r="AG28" s="45" t="s">
        <v>55</v>
      </c>
      <c r="AH28" s="47">
        <f t="shared" si="6"/>
        <v>3645</v>
      </c>
      <c r="AI28" s="45" t="s">
        <v>56</v>
      </c>
    </row>
    <row r="29" spans="2:39" ht="16.5" x14ac:dyDescent="0.25">
      <c r="B29" s="40" t="s">
        <v>64</v>
      </c>
      <c r="C29" s="41" t="s">
        <v>60</v>
      </c>
      <c r="D29" s="41" t="s">
        <v>94</v>
      </c>
      <c r="E29" s="42">
        <v>1.75</v>
      </c>
      <c r="F29" s="40" t="s">
        <v>6</v>
      </c>
      <c r="G29" s="43">
        <f t="shared" si="2"/>
        <v>6.3222249999999994E-2</v>
      </c>
      <c r="H29" s="40" t="s">
        <v>142</v>
      </c>
      <c r="I29" s="131"/>
      <c r="N29" s="46">
        <v>4410</v>
      </c>
      <c r="O29" s="45" t="s">
        <v>2</v>
      </c>
      <c r="P29" s="138">
        <f t="shared" si="3"/>
        <v>639616.42457999999</v>
      </c>
      <c r="Q29" s="45" t="s">
        <v>38</v>
      </c>
      <c r="R29" s="48">
        <v>1.9E-2</v>
      </c>
      <c r="S29" s="49">
        <v>234</v>
      </c>
      <c r="T29" s="45" t="s">
        <v>41</v>
      </c>
      <c r="U29" s="138">
        <f t="shared" si="4"/>
        <v>33938.830691999996</v>
      </c>
      <c r="V29" s="45" t="s">
        <v>42</v>
      </c>
      <c r="W29" s="108">
        <v>15</v>
      </c>
      <c r="X29" s="45" t="s">
        <v>41</v>
      </c>
      <c r="Y29" s="138">
        <f t="shared" si="1"/>
        <v>2175.5660699999999</v>
      </c>
      <c r="Z29" s="45" t="s">
        <v>42</v>
      </c>
      <c r="AA29" s="51">
        <v>0.27</v>
      </c>
      <c r="AB29" s="50">
        <v>23</v>
      </c>
      <c r="AC29" s="45" t="s">
        <v>41</v>
      </c>
      <c r="AD29" s="138">
        <f t="shared" si="5"/>
        <v>3335.8679739999998</v>
      </c>
      <c r="AE29" s="45" t="s">
        <v>42</v>
      </c>
      <c r="AF29" s="112">
        <v>4050</v>
      </c>
      <c r="AG29" s="45" t="s">
        <v>55</v>
      </c>
      <c r="AH29" s="47">
        <f t="shared" si="6"/>
        <v>3645</v>
      </c>
      <c r="AI29" s="45" t="s">
        <v>56</v>
      </c>
    </row>
    <row r="30" spans="2:39" ht="16.5" x14ac:dyDescent="0.25">
      <c r="B30" s="40" t="s">
        <v>65</v>
      </c>
      <c r="C30" s="41" t="s">
        <v>60</v>
      </c>
      <c r="D30" s="41" t="s">
        <v>94</v>
      </c>
      <c r="E30" s="42">
        <v>1.76</v>
      </c>
      <c r="F30" s="40" t="s">
        <v>6</v>
      </c>
      <c r="G30" s="43">
        <f t="shared" si="2"/>
        <v>6.3583520000000004E-2</v>
      </c>
      <c r="H30" s="40" t="s">
        <v>142</v>
      </c>
      <c r="I30" s="131"/>
      <c r="N30" s="46">
        <v>3930</v>
      </c>
      <c r="O30" s="45" t="s">
        <v>2</v>
      </c>
      <c r="P30" s="138">
        <f t="shared" si="3"/>
        <v>569998.31033999997</v>
      </c>
      <c r="Q30" s="45" t="s">
        <v>38</v>
      </c>
      <c r="R30" s="48">
        <v>1.6500000000000001E-2</v>
      </c>
      <c r="S30" s="49">
        <v>234</v>
      </c>
      <c r="T30" s="45" t="s">
        <v>41</v>
      </c>
      <c r="U30" s="138">
        <f t="shared" si="4"/>
        <v>33938.830691999996</v>
      </c>
      <c r="V30" s="45" t="s">
        <v>42</v>
      </c>
      <c r="W30" s="108">
        <v>15</v>
      </c>
      <c r="X30" s="45" t="s">
        <v>41</v>
      </c>
      <c r="Y30" s="138">
        <f t="shared" si="1"/>
        <v>2175.5660699999999</v>
      </c>
      <c r="Z30" s="45" t="s">
        <v>42</v>
      </c>
      <c r="AA30" s="51">
        <v>0.27</v>
      </c>
      <c r="AB30" s="50">
        <v>23</v>
      </c>
      <c r="AC30" s="45" t="s">
        <v>41</v>
      </c>
      <c r="AD30" s="138">
        <f t="shared" si="5"/>
        <v>3335.8679739999998</v>
      </c>
      <c r="AE30" s="45" t="s">
        <v>42</v>
      </c>
      <c r="AF30" s="112">
        <v>8100</v>
      </c>
      <c r="AG30" s="45" t="s">
        <v>55</v>
      </c>
      <c r="AH30" s="47">
        <f t="shared" si="6"/>
        <v>7290</v>
      </c>
      <c r="AI30" s="45" t="s">
        <v>56</v>
      </c>
    </row>
    <row r="31" spans="2:39" ht="16.5" x14ac:dyDescent="0.25">
      <c r="B31" s="40" t="s">
        <v>66</v>
      </c>
      <c r="C31" s="41" t="s">
        <v>60</v>
      </c>
      <c r="D31" s="41" t="s">
        <v>94</v>
      </c>
      <c r="E31" s="42">
        <v>1.75</v>
      </c>
      <c r="F31" s="40" t="s">
        <v>6</v>
      </c>
      <c r="G31" s="43">
        <f t="shared" si="2"/>
        <v>6.3222249999999994E-2</v>
      </c>
      <c r="H31" s="40" t="s">
        <v>142</v>
      </c>
      <c r="I31" s="131"/>
      <c r="N31" s="46">
        <v>4140</v>
      </c>
      <c r="O31" s="45" t="s">
        <v>2</v>
      </c>
      <c r="P31" s="138">
        <f t="shared" si="3"/>
        <v>600456.23531999998</v>
      </c>
      <c r="Q31" s="45" t="s">
        <v>38</v>
      </c>
      <c r="R31" s="48">
        <v>1.7600000000000001E-2</v>
      </c>
      <c r="S31" s="49">
        <v>234</v>
      </c>
      <c r="T31" s="45" t="s">
        <v>41</v>
      </c>
      <c r="U31" s="138">
        <f t="shared" si="4"/>
        <v>33938.830691999996</v>
      </c>
      <c r="V31" s="45" t="s">
        <v>42</v>
      </c>
      <c r="W31" s="108">
        <v>15</v>
      </c>
      <c r="X31" s="45" t="s">
        <v>41</v>
      </c>
      <c r="Y31" s="138">
        <f t="shared" si="1"/>
        <v>2175.5660699999999</v>
      </c>
      <c r="Z31" s="45" t="s">
        <v>42</v>
      </c>
      <c r="AA31" s="51">
        <v>0.27</v>
      </c>
      <c r="AB31" s="50">
        <v>23</v>
      </c>
      <c r="AC31" s="45" t="s">
        <v>41</v>
      </c>
      <c r="AD31" s="138">
        <f t="shared" si="5"/>
        <v>3335.8679739999998</v>
      </c>
      <c r="AE31" s="45" t="s">
        <v>42</v>
      </c>
      <c r="AF31" s="112">
        <v>8100</v>
      </c>
      <c r="AG31" s="45" t="s">
        <v>55</v>
      </c>
      <c r="AH31" s="47">
        <f t="shared" si="6"/>
        <v>7290</v>
      </c>
      <c r="AI31" s="45" t="s">
        <v>56</v>
      </c>
    </row>
    <row r="32" spans="2:39" ht="16.5" x14ac:dyDescent="0.25">
      <c r="B32" s="40" t="s">
        <v>121</v>
      </c>
      <c r="C32" s="41" t="s">
        <v>129</v>
      </c>
      <c r="D32" s="41" t="s">
        <v>130</v>
      </c>
      <c r="E32" s="42">
        <v>1.77</v>
      </c>
      <c r="F32" s="40" t="s">
        <v>6</v>
      </c>
      <c r="G32" s="43">
        <f>E32*lbs_in3</f>
        <v>6.3944790000000001E-2</v>
      </c>
      <c r="H32" s="40" t="s">
        <v>142</v>
      </c>
      <c r="I32" s="114"/>
      <c r="N32" s="114"/>
      <c r="P32" s="139"/>
      <c r="R32" s="45"/>
      <c r="S32" s="49">
        <v>230</v>
      </c>
      <c r="T32" s="45" t="s">
        <v>41</v>
      </c>
      <c r="U32" s="138">
        <f>S32*PSI</f>
        <v>33358.67974</v>
      </c>
      <c r="V32" s="45" t="s">
        <v>42</v>
      </c>
      <c r="W32" s="49">
        <v>14</v>
      </c>
      <c r="X32" s="45" t="s">
        <v>41</v>
      </c>
      <c r="Y32" s="138">
        <f t="shared" si="1"/>
        <v>2030.5283319999999</v>
      </c>
      <c r="Z32" s="45" t="s">
        <v>42</v>
      </c>
      <c r="AA32" s="111">
        <v>0.27</v>
      </c>
      <c r="AB32" s="116">
        <v>23</v>
      </c>
      <c r="AC32" s="45" t="s">
        <v>41</v>
      </c>
      <c r="AD32" s="138">
        <f>AB32*PSI</f>
        <v>3335.8679739999998</v>
      </c>
      <c r="AE32" s="45" t="s">
        <v>42</v>
      </c>
    </row>
    <row r="33" spans="2:31" ht="16.5" x14ac:dyDescent="0.25">
      <c r="B33" s="40" t="s">
        <v>122</v>
      </c>
      <c r="C33" s="41" t="s">
        <v>129</v>
      </c>
      <c r="D33" s="41" t="s">
        <v>130</v>
      </c>
      <c r="E33" s="42">
        <v>1.9</v>
      </c>
      <c r="F33" s="40" t="s">
        <v>6</v>
      </c>
      <c r="G33" s="43">
        <f>E33*lbs_in3</f>
        <v>6.8641300000000002E-2</v>
      </c>
      <c r="H33" s="40" t="s">
        <v>142</v>
      </c>
      <c r="I33" s="114"/>
      <c r="N33" s="114"/>
      <c r="P33" s="139"/>
      <c r="R33" s="45"/>
      <c r="S33" s="49">
        <v>370</v>
      </c>
      <c r="T33" s="45" t="s">
        <v>41</v>
      </c>
      <c r="U33" s="138">
        <f>S33*PSI</f>
        <v>53663.963059999995</v>
      </c>
      <c r="V33" s="45" t="s">
        <v>42</v>
      </c>
      <c r="W33" s="49">
        <v>9</v>
      </c>
      <c r="X33" s="45" t="s">
        <v>41</v>
      </c>
      <c r="Y33" s="138">
        <f t="shared" si="1"/>
        <v>1305.3396419999999</v>
      </c>
      <c r="Z33" s="45" t="s">
        <v>42</v>
      </c>
      <c r="AA33" s="111">
        <v>0.23</v>
      </c>
      <c r="AB33" s="116">
        <v>20</v>
      </c>
      <c r="AC33" s="45" t="s">
        <v>41</v>
      </c>
      <c r="AD33" s="138">
        <f>AB33*PSI</f>
        <v>2900.7547599999998</v>
      </c>
      <c r="AE33" s="45" t="s">
        <v>42</v>
      </c>
    </row>
    <row r="34" spans="2:31" x14ac:dyDescent="0.25">
      <c r="N34" s="132"/>
      <c r="P34" s="139"/>
      <c r="U34" s="139"/>
      <c r="Y34" s="139"/>
      <c r="AD34" s="139"/>
    </row>
    <row r="35" spans="2:31" x14ac:dyDescent="0.25">
      <c r="N35" s="132"/>
      <c r="P35" s="139"/>
      <c r="U35" s="139"/>
      <c r="Y35" s="139"/>
      <c r="AD35" s="139"/>
    </row>
    <row r="36" spans="2:31" x14ac:dyDescent="0.25">
      <c r="D36" s="133"/>
      <c r="N36" s="132"/>
      <c r="U36" s="139"/>
      <c r="Y36" s="139"/>
      <c r="AC36" s="71" t="s">
        <v>57</v>
      </c>
      <c r="AD36" s="139"/>
    </row>
    <row r="37" spans="2:31" x14ac:dyDescent="0.25">
      <c r="N37" s="132"/>
      <c r="R37" s="134"/>
      <c r="S37" s="68"/>
      <c r="U37" s="139"/>
      <c r="Y37" s="139"/>
      <c r="AD37" s="139"/>
    </row>
    <row r="38" spans="2:31" x14ac:dyDescent="0.25">
      <c r="U38" s="139"/>
      <c r="Y38" s="139"/>
      <c r="AD38" s="139"/>
    </row>
    <row r="39" spans="2:31" x14ac:dyDescent="0.25">
      <c r="N39" s="45"/>
      <c r="U39" s="139"/>
    </row>
    <row r="40" spans="2:31" x14ac:dyDescent="0.25">
      <c r="U40" s="139"/>
    </row>
    <row r="41" spans="2:31" x14ac:dyDescent="0.25">
      <c r="U41" s="139"/>
    </row>
  </sheetData>
  <mergeCells count="8">
    <mergeCell ref="AF10:AI10"/>
    <mergeCell ref="AB10:AE10"/>
    <mergeCell ref="N10:Q10"/>
    <mergeCell ref="AJ10:AM10"/>
    <mergeCell ref="E10:H10"/>
    <mergeCell ref="I10:M10"/>
    <mergeCell ref="S10:V10"/>
    <mergeCell ref="W10:Z10"/>
  </mergeCells>
  <phoneticPr fontId="16" type="noConversion"/>
  <dataValidations disablePrompts="1" count="1">
    <dataValidation type="list" allowBlank="1" showInputMessage="1" showErrorMessage="1" sqref="B34" xr:uid="{E19AF018-BDE4-4400-AE2A-A880EB410EBC}">
      <formula1>"Fiber+$B$37"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5D48D-76A9-4BFD-8846-6EDE1F2E5C78}">
  <dimension ref="A1:AP55"/>
  <sheetViews>
    <sheetView workbookViewId="0"/>
  </sheetViews>
  <sheetFormatPr defaultRowHeight="15" x14ac:dyDescent="0.25"/>
  <cols>
    <col min="1" max="1" width="7.140625" style="209" customWidth="1"/>
    <col min="2" max="2" width="51.42578125" style="144" customWidth="1"/>
    <col min="3" max="3" width="50.85546875" style="144" bestFit="1" customWidth="1"/>
    <col min="4" max="4" width="46.5703125" style="209" bestFit="1" customWidth="1"/>
    <col min="5" max="5" width="8.7109375" style="17" customWidth="1"/>
    <col min="6" max="6" width="6.140625" style="209" bestFit="1" customWidth="1"/>
    <col min="7" max="7" width="8.7109375" style="27" customWidth="1"/>
    <col min="8" max="8" width="5.85546875" style="209" bestFit="1" customWidth="1"/>
    <col min="9" max="11" width="10.7109375" style="26" customWidth="1"/>
    <col min="12" max="12" width="3.140625" customWidth="1"/>
    <col min="13" max="15" width="12.7109375" style="210" customWidth="1"/>
    <col min="16" max="16" width="2.5703125" customWidth="1"/>
    <col min="17" max="17" width="10.7109375" style="25" customWidth="1"/>
    <col min="18" max="18" width="4.85546875" bestFit="1" customWidth="1"/>
    <col min="19" max="19" width="10.7109375" style="26" customWidth="1"/>
    <col min="20" max="20" width="3.7109375" bestFit="1" customWidth="1"/>
    <col min="21" max="21" width="12.7109375" style="211" customWidth="1"/>
    <col min="22" max="22" width="9.7109375" style="17" customWidth="1"/>
    <col min="23" max="23" width="4.5703125" bestFit="1" customWidth="1"/>
    <col min="24" max="24" width="9.7109375" style="26" customWidth="1"/>
    <col min="25" max="25" width="3.5703125" bestFit="1" customWidth="1"/>
    <col min="26" max="26" width="9.7109375" style="25" customWidth="1"/>
    <col min="27" max="27" width="4.85546875" bestFit="1" customWidth="1"/>
    <col min="28" max="28" width="9.7109375" style="26" customWidth="1"/>
    <col min="29" max="29" width="3.7109375" bestFit="1" customWidth="1"/>
    <col min="30" max="30" width="9.7109375" style="17" customWidth="1"/>
    <col min="31" max="31" width="4.5703125" bestFit="1" customWidth="1"/>
    <col min="32" max="32" width="8.7109375" style="26" customWidth="1"/>
    <col min="33" max="33" width="3.5703125" bestFit="1" customWidth="1"/>
    <col min="34" max="34" width="9.7109375" style="25" customWidth="1"/>
    <col min="35" max="35" width="4.85546875" bestFit="1" customWidth="1"/>
    <col min="36" max="36" width="9.7109375" style="26" customWidth="1"/>
    <col min="37" max="37" width="3.7109375" bestFit="1" customWidth="1"/>
    <col min="38" max="38" width="10.7109375" style="212" customWidth="1"/>
    <col min="39" max="39" width="9.7109375" style="212" customWidth="1"/>
    <col min="40" max="40" width="4.5703125" style="212" bestFit="1" customWidth="1"/>
    <col min="41" max="41" width="9.7109375" style="212" customWidth="1"/>
    <col min="42" max="42" width="3.5703125" style="212" bestFit="1" customWidth="1"/>
  </cols>
  <sheetData>
    <row r="1" spans="1:42" s="199" customFormat="1" ht="21.75" customHeight="1" x14ac:dyDescent="0.3">
      <c r="A1" s="192" t="s">
        <v>178</v>
      </c>
      <c r="B1" s="193"/>
      <c r="C1" s="193"/>
      <c r="D1" s="192"/>
      <c r="E1" s="194"/>
      <c r="F1" s="192"/>
      <c r="G1" s="195"/>
      <c r="H1" s="192"/>
      <c r="I1" s="196"/>
      <c r="J1" s="196"/>
      <c r="K1" s="196"/>
      <c r="L1"/>
      <c r="M1" s="197"/>
      <c r="N1" s="197"/>
      <c r="O1" s="197"/>
      <c r="P1"/>
      <c r="Q1" s="198"/>
      <c r="S1" s="196"/>
      <c r="U1" s="200"/>
      <c r="V1" s="194"/>
      <c r="X1" s="196"/>
      <c r="Z1" s="198"/>
      <c r="AB1" s="196"/>
      <c r="AD1" s="194"/>
      <c r="AF1" s="196"/>
      <c r="AH1" s="198"/>
      <c r="AJ1" s="196"/>
      <c r="AL1" s="201"/>
      <c r="AM1" s="201"/>
      <c r="AN1" s="201"/>
      <c r="AO1" s="201"/>
      <c r="AP1" s="201"/>
    </row>
    <row r="2" spans="1:42" s="6" customFormat="1" ht="15.95" customHeight="1" x14ac:dyDescent="0.25">
      <c r="A2" s="202"/>
      <c r="B2" s="203"/>
      <c r="C2" s="203"/>
      <c r="D2" s="202"/>
      <c r="E2" s="164"/>
      <c r="F2" s="202"/>
      <c r="G2" s="165"/>
      <c r="H2" s="202"/>
      <c r="I2" s="166"/>
      <c r="J2" s="166"/>
      <c r="K2" s="166"/>
      <c r="L2"/>
      <c r="M2" s="33"/>
      <c r="N2" s="33"/>
      <c r="O2" s="33"/>
      <c r="P2"/>
      <c r="Q2" s="204"/>
      <c r="S2" s="166"/>
      <c r="U2" s="205"/>
      <c r="V2" s="164"/>
      <c r="X2" s="166"/>
      <c r="Z2" s="204"/>
      <c r="AB2" s="166"/>
      <c r="AD2" s="164"/>
      <c r="AF2" s="166"/>
      <c r="AH2" s="204"/>
      <c r="AJ2" s="166"/>
      <c r="AL2" s="206"/>
      <c r="AM2" s="206"/>
      <c r="AN2" s="206"/>
      <c r="AO2" s="206"/>
      <c r="AP2" s="206"/>
    </row>
    <row r="3" spans="1:42" ht="15.95" customHeight="1" x14ac:dyDescent="0.25">
      <c r="A3" s="40" t="s">
        <v>102</v>
      </c>
      <c r="B3" s="65">
        <v>45500</v>
      </c>
      <c r="C3" s="207"/>
      <c r="D3" s="208"/>
      <c r="E3" s="208"/>
    </row>
    <row r="4" spans="1:42" ht="15.95" customHeight="1" x14ac:dyDescent="0.25">
      <c r="A4" s="280" t="s">
        <v>300</v>
      </c>
      <c r="B4" s="65"/>
      <c r="C4" s="207"/>
      <c r="D4" s="208"/>
      <c r="E4" s="208"/>
    </row>
    <row r="5" spans="1:42" ht="15.95" customHeight="1" x14ac:dyDescent="0.25">
      <c r="A5" s="39"/>
      <c r="B5" s="207"/>
      <c r="C5" s="207"/>
      <c r="D5" s="208"/>
      <c r="E5" s="208"/>
      <c r="AL5"/>
    </row>
    <row r="6" spans="1:42" ht="15.95" customHeight="1" x14ac:dyDescent="0.25">
      <c r="A6" s="39"/>
      <c r="B6" s="144" t="s">
        <v>169</v>
      </c>
      <c r="D6" s="111" t="s">
        <v>127</v>
      </c>
    </row>
    <row r="7" spans="1:42" ht="15.95" customHeight="1" x14ac:dyDescent="0.25">
      <c r="A7" s="39"/>
      <c r="B7" s="39" t="s">
        <v>168</v>
      </c>
      <c r="C7" s="39"/>
      <c r="D7" s="113" t="s">
        <v>101</v>
      </c>
    </row>
    <row r="8" spans="1:42" ht="15.95" customHeight="1" x14ac:dyDescent="0.25">
      <c r="A8" s="39"/>
      <c r="B8" s="144" t="s">
        <v>170</v>
      </c>
      <c r="D8" s="213" t="s">
        <v>126</v>
      </c>
      <c r="O8" s="210" t="s">
        <v>82</v>
      </c>
    </row>
    <row r="9" spans="1:42" ht="15.95" customHeight="1" x14ac:dyDescent="0.25">
      <c r="J9" s="26" t="s">
        <v>70</v>
      </c>
      <c r="O9" s="26" t="s">
        <v>70</v>
      </c>
      <c r="Q9" s="25" t="s">
        <v>80</v>
      </c>
    </row>
    <row r="10" spans="1:42" s="35" customFormat="1" ht="52.5" customHeight="1" thickBot="1" x14ac:dyDescent="0.3">
      <c r="A10" s="33"/>
      <c r="B10" s="214" t="s">
        <v>32</v>
      </c>
      <c r="C10" s="215" t="s">
        <v>33</v>
      </c>
      <c r="D10" s="215" t="s">
        <v>93</v>
      </c>
      <c r="E10" s="321" t="s">
        <v>301</v>
      </c>
      <c r="F10" s="321"/>
      <c r="G10" s="321"/>
      <c r="H10" s="321"/>
      <c r="I10" s="322" t="s">
        <v>215</v>
      </c>
      <c r="J10" s="322"/>
      <c r="K10" s="322"/>
      <c r="L10" s="216"/>
      <c r="M10" s="214" t="s">
        <v>243</v>
      </c>
      <c r="N10" s="214" t="s">
        <v>91</v>
      </c>
      <c r="O10" s="214" t="s">
        <v>83</v>
      </c>
      <c r="P10" s="216"/>
      <c r="Q10" s="323" t="s">
        <v>79</v>
      </c>
      <c r="R10" s="323"/>
      <c r="S10" s="323"/>
      <c r="T10" s="323"/>
      <c r="U10" s="217" t="s">
        <v>75</v>
      </c>
      <c r="V10" s="321" t="s">
        <v>74</v>
      </c>
      <c r="W10" s="321"/>
      <c r="X10" s="321"/>
      <c r="Y10" s="321"/>
      <c r="Z10" s="321" t="s">
        <v>77</v>
      </c>
      <c r="AA10" s="321"/>
      <c r="AB10" s="321"/>
      <c r="AC10" s="321"/>
      <c r="AD10" s="321" t="s">
        <v>78</v>
      </c>
      <c r="AE10" s="321"/>
      <c r="AF10" s="321"/>
      <c r="AG10" s="321"/>
      <c r="AH10" s="321" t="s">
        <v>76</v>
      </c>
      <c r="AI10" s="321"/>
      <c r="AJ10" s="321"/>
      <c r="AK10" s="321"/>
      <c r="AL10" s="218" t="s">
        <v>49</v>
      </c>
      <c r="AM10" s="320" t="s">
        <v>51</v>
      </c>
      <c r="AN10" s="320"/>
      <c r="AO10" s="320"/>
      <c r="AP10" s="320"/>
    </row>
    <row r="11" spans="1:42" s="6" customFormat="1" ht="16.5" thickTop="1" thickBot="1" x14ac:dyDescent="0.3">
      <c r="A11" s="202"/>
      <c r="B11" s="219"/>
      <c r="C11" s="220"/>
      <c r="D11" s="220"/>
      <c r="E11" s="221" t="s">
        <v>4</v>
      </c>
      <c r="F11" s="220"/>
      <c r="G11" s="222" t="s">
        <v>37</v>
      </c>
      <c r="H11" s="220"/>
      <c r="I11" s="223" t="s">
        <v>71</v>
      </c>
      <c r="J11" s="223" t="s">
        <v>72</v>
      </c>
      <c r="K11" s="223" t="s">
        <v>73</v>
      </c>
      <c r="L11" s="224"/>
      <c r="M11" s="225"/>
      <c r="N11" s="225"/>
      <c r="O11" s="225"/>
      <c r="P11" s="224"/>
      <c r="Q11" s="226" t="s">
        <v>4</v>
      </c>
      <c r="R11" s="227"/>
      <c r="S11" s="223" t="s">
        <v>37</v>
      </c>
      <c r="T11" s="227"/>
      <c r="U11" s="228"/>
      <c r="V11" s="221" t="s">
        <v>4</v>
      </c>
      <c r="W11" s="227"/>
      <c r="X11" s="223" t="s">
        <v>37</v>
      </c>
      <c r="Y11" s="227"/>
      <c r="Z11" s="226" t="s">
        <v>4</v>
      </c>
      <c r="AA11" s="227"/>
      <c r="AB11" s="223" t="s">
        <v>37</v>
      </c>
      <c r="AC11" s="227"/>
      <c r="AD11" s="221" t="s">
        <v>4</v>
      </c>
      <c r="AE11" s="227"/>
      <c r="AF11" s="223" t="s">
        <v>37</v>
      </c>
      <c r="AG11" s="227"/>
      <c r="AH11" s="226" t="s">
        <v>4</v>
      </c>
      <c r="AI11" s="227"/>
      <c r="AJ11" s="223" t="s">
        <v>37</v>
      </c>
      <c r="AK11" s="227"/>
      <c r="AL11" s="229"/>
      <c r="AM11" s="226" t="s">
        <v>4</v>
      </c>
      <c r="AN11" s="227"/>
      <c r="AO11" s="223" t="s">
        <v>37</v>
      </c>
      <c r="AP11" s="227"/>
    </row>
    <row r="12" spans="1:42" s="6" customFormat="1" x14ac:dyDescent="0.25">
      <c r="A12" s="202"/>
      <c r="B12" s="230" t="s">
        <v>244</v>
      </c>
      <c r="C12" s="231"/>
      <c r="D12" s="231"/>
      <c r="E12" s="232"/>
      <c r="F12" s="231"/>
      <c r="G12" s="233"/>
      <c r="H12" s="231"/>
      <c r="I12" s="234"/>
      <c r="J12" s="234"/>
      <c r="K12" s="234"/>
      <c r="L12" s="235"/>
      <c r="M12" s="236"/>
      <c r="N12" s="236"/>
      <c r="O12" s="236"/>
      <c r="P12" s="235"/>
      <c r="Q12" s="237"/>
      <c r="R12" s="238"/>
      <c r="S12" s="234"/>
      <c r="T12" s="238"/>
      <c r="U12" s="239"/>
      <c r="V12" s="232"/>
      <c r="W12" s="238"/>
      <c r="X12" s="234"/>
      <c r="Y12" s="238"/>
      <c r="Z12" s="237"/>
      <c r="AA12" s="238"/>
      <c r="AB12" s="234"/>
      <c r="AC12" s="238"/>
      <c r="AD12" s="232"/>
      <c r="AE12" s="238"/>
      <c r="AF12" s="234"/>
      <c r="AG12" s="238"/>
      <c r="AH12" s="237"/>
      <c r="AI12" s="238"/>
      <c r="AJ12" s="234"/>
      <c r="AK12" s="238"/>
      <c r="AL12" s="240"/>
      <c r="AM12" s="237"/>
      <c r="AN12" s="238"/>
      <c r="AO12" s="234"/>
      <c r="AP12" s="238"/>
    </row>
    <row r="13" spans="1:42" ht="16.5" x14ac:dyDescent="0.25">
      <c r="B13" s="144" t="s">
        <v>69</v>
      </c>
      <c r="C13" s="209" t="s">
        <v>247</v>
      </c>
      <c r="D13" s="209" t="s">
        <v>171</v>
      </c>
      <c r="E13" s="241">
        <v>1.1599999999999999</v>
      </c>
      <c r="F13" s="209" t="s">
        <v>6</v>
      </c>
      <c r="G13" s="242">
        <f t="shared" ref="G13:G23" si="0">E13*lbs_in3</f>
        <v>4.1907319999999998E-2</v>
      </c>
      <c r="H13" s="209" t="s">
        <v>142</v>
      </c>
      <c r="I13" s="243">
        <v>1731</v>
      </c>
      <c r="J13" s="243">
        <v>75</v>
      </c>
      <c r="K13" s="243">
        <v>694</v>
      </c>
      <c r="M13" s="241" t="s">
        <v>84</v>
      </c>
      <c r="N13" s="244">
        <v>40</v>
      </c>
      <c r="O13" s="241" t="s">
        <v>85</v>
      </c>
      <c r="Q13" s="188">
        <v>75.2</v>
      </c>
      <c r="R13" t="s">
        <v>2</v>
      </c>
      <c r="S13" s="245">
        <f t="shared" ref="S13:S22" si="1">Q13*PSI</f>
        <v>10906.8378976</v>
      </c>
      <c r="T13" t="s">
        <v>38</v>
      </c>
      <c r="U13" s="246">
        <v>3.2000000000000001E-2</v>
      </c>
      <c r="V13" s="241">
        <v>3.69</v>
      </c>
      <c r="W13" t="s">
        <v>41</v>
      </c>
      <c r="X13" s="245">
        <f t="shared" ref="X13:X23" si="2">V13*PSI</f>
        <v>535.18925321999996</v>
      </c>
      <c r="Y13" t="s">
        <v>42</v>
      </c>
      <c r="Z13" s="188">
        <v>121</v>
      </c>
      <c r="AA13" t="s">
        <v>2</v>
      </c>
      <c r="AB13" s="245">
        <f t="shared" ref="AB13:AB22" si="3">Z13*PSI</f>
        <v>17549.566297999998</v>
      </c>
      <c r="AC13" t="s">
        <v>38</v>
      </c>
      <c r="AD13" s="241">
        <v>3.63</v>
      </c>
      <c r="AE13" t="s">
        <v>41</v>
      </c>
      <c r="AF13" s="245">
        <f t="shared" ref="AF13:AF22" si="4">AD13*PSI</f>
        <v>526.48698893999995</v>
      </c>
      <c r="AG13" t="s">
        <v>42</v>
      </c>
      <c r="AH13" s="188">
        <v>109</v>
      </c>
      <c r="AI13" t="s">
        <v>2</v>
      </c>
      <c r="AJ13" s="245">
        <f t="shared" ref="AJ13:AJ22" si="5">AH13*PSI</f>
        <v>15809.113441999998</v>
      </c>
      <c r="AK13" t="s">
        <v>38</v>
      </c>
      <c r="AL13" s="247">
        <v>0.35</v>
      </c>
      <c r="AM13" s="248">
        <f t="shared" ref="AM13:AM22" si="6">V13/(2*(1+AL13))</f>
        <v>1.3666666666666665</v>
      </c>
      <c r="AN13" t="s">
        <v>41</v>
      </c>
      <c r="AO13" s="245">
        <f t="shared" ref="AO13:AO23" si="7">AM13*PSI</f>
        <v>198.2182419333333</v>
      </c>
      <c r="AP13" t="s">
        <v>42</v>
      </c>
    </row>
    <row r="14" spans="1:42" ht="16.5" x14ac:dyDescent="0.25">
      <c r="B14" s="144" t="s">
        <v>81</v>
      </c>
      <c r="C14" s="144" t="s">
        <v>248</v>
      </c>
      <c r="D14" s="209" t="s">
        <v>171</v>
      </c>
      <c r="E14" s="249">
        <v>1.1499999999999999</v>
      </c>
      <c r="F14" s="209" t="s">
        <v>6</v>
      </c>
      <c r="G14" s="250">
        <f t="shared" si="0"/>
        <v>4.1546049999999994E-2</v>
      </c>
      <c r="H14" s="209" t="s">
        <v>142</v>
      </c>
      <c r="I14" s="251">
        <v>1731</v>
      </c>
      <c r="J14" s="251">
        <v>42</v>
      </c>
      <c r="K14" s="251">
        <v>696</v>
      </c>
      <c r="M14" s="249" t="s">
        <v>86</v>
      </c>
      <c r="N14" s="252" t="s">
        <v>87</v>
      </c>
      <c r="O14" s="249" t="s">
        <v>88</v>
      </c>
      <c r="Q14" s="36">
        <v>67.2</v>
      </c>
      <c r="R14" t="s">
        <v>2</v>
      </c>
      <c r="S14" s="253">
        <f t="shared" si="1"/>
        <v>9746.5359936000004</v>
      </c>
      <c r="T14" t="s">
        <v>38</v>
      </c>
      <c r="U14" s="254">
        <v>2.1000000000000001E-2</v>
      </c>
      <c r="V14" s="249">
        <v>3.68</v>
      </c>
      <c r="W14" t="s">
        <v>41</v>
      </c>
      <c r="X14" s="253">
        <f t="shared" si="2"/>
        <v>533.73887583999999</v>
      </c>
      <c r="Y14" t="s">
        <v>42</v>
      </c>
      <c r="Z14" s="36">
        <v>118</v>
      </c>
      <c r="AA14" t="s">
        <v>2</v>
      </c>
      <c r="AB14" s="253">
        <f t="shared" si="3"/>
        <v>17114.453084000001</v>
      </c>
      <c r="AC14" t="s">
        <v>38</v>
      </c>
      <c r="AD14" s="249">
        <v>3.7</v>
      </c>
      <c r="AE14" t="s">
        <v>41</v>
      </c>
      <c r="AF14" s="253">
        <f t="shared" si="4"/>
        <v>536.63963060000003</v>
      </c>
      <c r="AG14" t="s">
        <v>42</v>
      </c>
      <c r="AH14" s="36">
        <v>115</v>
      </c>
      <c r="AI14" t="s">
        <v>2</v>
      </c>
      <c r="AJ14" s="253">
        <f t="shared" si="5"/>
        <v>16679.33987</v>
      </c>
      <c r="AK14" t="s">
        <v>38</v>
      </c>
      <c r="AL14" s="255">
        <v>0.35</v>
      </c>
      <c r="AM14" s="256">
        <f t="shared" si="6"/>
        <v>1.3629629629629629</v>
      </c>
      <c r="AN14" t="s">
        <v>41</v>
      </c>
      <c r="AO14" s="253">
        <f t="shared" si="7"/>
        <v>197.6810651259259</v>
      </c>
      <c r="AP14" t="s">
        <v>42</v>
      </c>
    </row>
    <row r="15" spans="1:42" ht="16.5" x14ac:dyDescent="0.25">
      <c r="B15" s="144" t="s">
        <v>89</v>
      </c>
      <c r="C15" s="144" t="s">
        <v>249</v>
      </c>
      <c r="D15" s="209" t="s">
        <v>171</v>
      </c>
      <c r="E15" s="249">
        <v>1.1499999999999999</v>
      </c>
      <c r="F15" s="209" t="s">
        <v>6</v>
      </c>
      <c r="G15" s="250">
        <f t="shared" si="0"/>
        <v>4.1546049999999994E-2</v>
      </c>
      <c r="H15" s="209" t="s">
        <v>214</v>
      </c>
      <c r="I15" s="251">
        <v>1721</v>
      </c>
      <c r="J15" s="251">
        <v>40</v>
      </c>
      <c r="K15" s="251">
        <v>642</v>
      </c>
      <c r="M15" s="249" t="s">
        <v>90</v>
      </c>
      <c r="N15" s="252" t="s">
        <v>86</v>
      </c>
      <c r="O15" s="249" t="s">
        <v>92</v>
      </c>
      <c r="Q15" s="36">
        <v>64.7</v>
      </c>
      <c r="R15" t="s">
        <v>2</v>
      </c>
      <c r="S15" s="253">
        <f t="shared" si="1"/>
        <v>9383.9416485999991</v>
      </c>
      <c r="T15" t="s">
        <v>38</v>
      </c>
      <c r="U15" s="254">
        <v>2.1000000000000001E-2</v>
      </c>
      <c r="V15" s="249">
        <v>3.68</v>
      </c>
      <c r="W15" t="s">
        <v>41</v>
      </c>
      <c r="X15" s="253">
        <f t="shared" si="2"/>
        <v>533.73887583999999</v>
      </c>
      <c r="Y15" t="s">
        <v>42</v>
      </c>
      <c r="Z15" s="36">
        <v>118</v>
      </c>
      <c r="AA15" t="s">
        <v>2</v>
      </c>
      <c r="AB15" s="253">
        <f t="shared" si="3"/>
        <v>17114.453084000001</v>
      </c>
      <c r="AC15" t="s">
        <v>38</v>
      </c>
      <c r="AD15" s="249">
        <v>3.7</v>
      </c>
      <c r="AE15" t="s">
        <v>41</v>
      </c>
      <c r="AF15" s="253">
        <f t="shared" si="4"/>
        <v>536.63963060000003</v>
      </c>
      <c r="AG15" t="s">
        <v>42</v>
      </c>
      <c r="AH15" s="36">
        <v>115</v>
      </c>
      <c r="AI15" t="s">
        <v>2</v>
      </c>
      <c r="AJ15" s="253">
        <f t="shared" si="5"/>
        <v>16679.33987</v>
      </c>
      <c r="AK15" t="s">
        <v>38</v>
      </c>
      <c r="AL15" s="255">
        <v>0.35</v>
      </c>
      <c r="AM15" s="256">
        <f t="shared" si="6"/>
        <v>1.3629629629629629</v>
      </c>
      <c r="AN15" t="s">
        <v>41</v>
      </c>
      <c r="AO15" s="253">
        <f t="shared" si="7"/>
        <v>197.6810651259259</v>
      </c>
      <c r="AP15" t="s">
        <v>42</v>
      </c>
    </row>
    <row r="16" spans="1:42" ht="16.5" x14ac:dyDescent="0.25">
      <c r="B16" s="144" t="s">
        <v>211</v>
      </c>
      <c r="C16" s="209" t="s">
        <v>212</v>
      </c>
      <c r="D16" s="209" t="s">
        <v>213</v>
      </c>
      <c r="E16" s="249">
        <v>1.18</v>
      </c>
      <c r="F16" s="209" t="s">
        <v>6</v>
      </c>
      <c r="G16" s="250">
        <f t="shared" si="0"/>
        <v>4.2629859999999999E-2</v>
      </c>
      <c r="H16" s="209" t="s">
        <v>142</v>
      </c>
      <c r="I16"/>
      <c r="J16"/>
      <c r="K16" s="251">
        <v>975</v>
      </c>
      <c r="M16" s="252" t="s">
        <v>218</v>
      </c>
      <c r="N16" s="252" t="s">
        <v>217</v>
      </c>
      <c r="O16" s="252" t="s">
        <v>216</v>
      </c>
      <c r="Q16" s="36">
        <v>54.5</v>
      </c>
      <c r="R16" t="s">
        <v>2</v>
      </c>
      <c r="S16" s="253">
        <f t="shared" si="1"/>
        <v>7904.556720999999</v>
      </c>
      <c r="T16" t="s">
        <v>38</v>
      </c>
      <c r="U16" s="254">
        <v>3.4000000000000002E-2</v>
      </c>
      <c r="V16" s="249">
        <v>2.81</v>
      </c>
      <c r="W16" t="s">
        <v>41</v>
      </c>
      <c r="X16" s="253">
        <f t="shared" si="2"/>
        <v>407.55604377999998</v>
      </c>
      <c r="Y16" t="s">
        <v>42</v>
      </c>
      <c r="Z16" s="36">
        <v>97.2</v>
      </c>
      <c r="AA16" t="s">
        <v>2</v>
      </c>
      <c r="AB16" s="253">
        <f t="shared" si="3"/>
        <v>14097.6681336</v>
      </c>
      <c r="AC16" t="s">
        <v>38</v>
      </c>
      <c r="AD16" s="249">
        <v>3.18</v>
      </c>
      <c r="AE16" t="s">
        <v>41</v>
      </c>
      <c r="AF16" s="253">
        <f t="shared" si="4"/>
        <v>461.22000684</v>
      </c>
      <c r="AG16" t="s">
        <v>42</v>
      </c>
      <c r="AH16" s="36">
        <v>78.599999999999994</v>
      </c>
      <c r="AI16" t="s">
        <v>2</v>
      </c>
      <c r="AJ16" s="253">
        <f t="shared" si="5"/>
        <v>11399.966206799998</v>
      </c>
      <c r="AK16" t="s">
        <v>38</v>
      </c>
      <c r="AL16" s="255">
        <v>0.35</v>
      </c>
      <c r="AM16" s="256">
        <f t="shared" si="6"/>
        <v>1.0407407407407407</v>
      </c>
      <c r="AN16" t="s">
        <v>41</v>
      </c>
      <c r="AO16" s="253">
        <f t="shared" si="7"/>
        <v>150.94668288148148</v>
      </c>
      <c r="AP16" t="s">
        <v>42</v>
      </c>
    </row>
    <row r="17" spans="1:42" ht="16.5" x14ac:dyDescent="0.25">
      <c r="B17" s="144" t="s">
        <v>219</v>
      </c>
      <c r="C17" s="209" t="s">
        <v>212</v>
      </c>
      <c r="D17" s="209" t="s">
        <v>213</v>
      </c>
      <c r="E17" s="249">
        <v>1.17</v>
      </c>
      <c r="F17" s="209" t="s">
        <v>6</v>
      </c>
      <c r="G17" s="250">
        <f t="shared" si="0"/>
        <v>4.2268589999999995E-2</v>
      </c>
      <c r="H17" s="209" t="s">
        <v>142</v>
      </c>
      <c r="I17"/>
      <c r="J17"/>
      <c r="K17" s="251">
        <v>725</v>
      </c>
      <c r="M17" s="252" t="s">
        <v>220</v>
      </c>
      <c r="N17" s="252" t="s">
        <v>222</v>
      </c>
      <c r="O17" s="252" t="s">
        <v>221</v>
      </c>
      <c r="Q17" s="36">
        <v>50.3</v>
      </c>
      <c r="R17" t="s">
        <v>2</v>
      </c>
      <c r="S17" s="253">
        <f t="shared" si="1"/>
        <v>7295.3982213999989</v>
      </c>
      <c r="T17" t="s">
        <v>38</v>
      </c>
      <c r="U17" s="254">
        <v>4.4999999999999998E-2</v>
      </c>
      <c r="V17" s="249">
        <v>3.17</v>
      </c>
      <c r="W17" t="s">
        <v>41</v>
      </c>
      <c r="X17" s="253">
        <f t="shared" si="2"/>
        <v>459.76962945999998</v>
      </c>
      <c r="Y17" t="s">
        <v>42</v>
      </c>
      <c r="Z17" s="36">
        <v>81.400000000000006</v>
      </c>
      <c r="AA17" t="s">
        <v>2</v>
      </c>
      <c r="AB17" s="253">
        <f t="shared" si="3"/>
        <v>11806.0718732</v>
      </c>
      <c r="AC17" t="s">
        <v>38</v>
      </c>
      <c r="AD17" s="249">
        <v>3.17</v>
      </c>
      <c r="AE17" t="s">
        <v>41</v>
      </c>
      <c r="AF17" s="253">
        <f t="shared" si="4"/>
        <v>459.76962945999998</v>
      </c>
      <c r="AG17" t="s">
        <v>42</v>
      </c>
      <c r="AH17" s="36">
        <v>79.3</v>
      </c>
      <c r="AI17" t="s">
        <v>2</v>
      </c>
      <c r="AJ17" s="253">
        <f t="shared" si="5"/>
        <v>11501.4926234</v>
      </c>
      <c r="AK17" t="s">
        <v>38</v>
      </c>
      <c r="AL17" s="255">
        <v>0.35</v>
      </c>
      <c r="AM17" s="256">
        <f t="shared" si="6"/>
        <v>1.174074074074074</v>
      </c>
      <c r="AN17" t="s">
        <v>41</v>
      </c>
      <c r="AO17" s="253">
        <f t="shared" si="7"/>
        <v>170.28504794814813</v>
      </c>
      <c r="AP17" t="s">
        <v>42</v>
      </c>
    </row>
    <row r="18" spans="1:42" ht="16.5" x14ac:dyDescent="0.25">
      <c r="B18" s="144" t="s">
        <v>224</v>
      </c>
      <c r="C18" s="209" t="s">
        <v>223</v>
      </c>
      <c r="D18" s="209" t="s">
        <v>213</v>
      </c>
      <c r="E18" s="249">
        <v>1.1499999999999999</v>
      </c>
      <c r="F18" s="209" t="s">
        <v>6</v>
      </c>
      <c r="G18" s="250">
        <f t="shared" si="0"/>
        <v>4.1546049999999994E-2</v>
      </c>
      <c r="H18" s="209" t="s">
        <v>142</v>
      </c>
      <c r="I18"/>
      <c r="J18"/>
      <c r="K18" s="251">
        <v>760</v>
      </c>
      <c r="M18" s="252" t="s">
        <v>220</v>
      </c>
      <c r="N18" s="252" t="s">
        <v>226</v>
      </c>
      <c r="O18" s="252" t="s">
        <v>225</v>
      </c>
      <c r="Q18" s="36">
        <v>46.5</v>
      </c>
      <c r="R18" t="s">
        <v>2</v>
      </c>
      <c r="S18" s="253">
        <f t="shared" si="1"/>
        <v>6744.2548169999991</v>
      </c>
      <c r="T18" t="s">
        <v>38</v>
      </c>
      <c r="U18" s="254">
        <v>3.7999999999999999E-2</v>
      </c>
      <c r="V18" s="249">
        <v>3.03</v>
      </c>
      <c r="W18" t="s">
        <v>41</v>
      </c>
      <c r="X18" s="253">
        <f t="shared" si="2"/>
        <v>439.46434613999992</v>
      </c>
      <c r="Y18" t="s">
        <v>42</v>
      </c>
      <c r="Z18" s="36">
        <v>77.900000000000006</v>
      </c>
      <c r="AA18" t="s">
        <v>2</v>
      </c>
      <c r="AB18" s="253">
        <f t="shared" si="3"/>
        <v>11298.4397902</v>
      </c>
      <c r="AC18" t="s">
        <v>38</v>
      </c>
      <c r="AD18" s="249">
        <v>2.84</v>
      </c>
      <c r="AE18" t="s">
        <v>41</v>
      </c>
      <c r="AF18" s="253">
        <f t="shared" si="4"/>
        <v>411.90717591999993</v>
      </c>
      <c r="AG18" t="s">
        <v>42</v>
      </c>
      <c r="AH18" s="36">
        <v>75.8</v>
      </c>
      <c r="AI18" t="s">
        <v>2</v>
      </c>
      <c r="AJ18" s="253">
        <f t="shared" si="5"/>
        <v>10993.860540399999</v>
      </c>
      <c r="AK18" t="s">
        <v>38</v>
      </c>
      <c r="AL18" s="255">
        <v>0.35</v>
      </c>
      <c r="AM18" s="256">
        <f t="shared" si="6"/>
        <v>1.122222222222222</v>
      </c>
      <c r="AN18" t="s">
        <v>41</v>
      </c>
      <c r="AO18" s="253">
        <f t="shared" si="7"/>
        <v>162.7645726444444</v>
      </c>
      <c r="AP18" t="s">
        <v>42</v>
      </c>
    </row>
    <row r="19" spans="1:42" ht="16.5" x14ac:dyDescent="0.25">
      <c r="B19" s="144" t="s">
        <v>227</v>
      </c>
      <c r="C19" s="209" t="s">
        <v>212</v>
      </c>
      <c r="D19" s="209" t="s">
        <v>213</v>
      </c>
      <c r="E19" s="249">
        <v>1.1599999999999999</v>
      </c>
      <c r="F19" s="209" t="s">
        <v>6</v>
      </c>
      <c r="G19" s="250">
        <f t="shared" si="0"/>
        <v>4.1907319999999998E-2</v>
      </c>
      <c r="H19" s="209" t="s">
        <v>142</v>
      </c>
      <c r="I19"/>
      <c r="J19"/>
      <c r="K19" s="251">
        <v>650</v>
      </c>
      <c r="M19" s="252" t="s">
        <v>228</v>
      </c>
      <c r="N19" s="252" t="s">
        <v>229</v>
      </c>
      <c r="O19" s="252" t="s">
        <v>230</v>
      </c>
      <c r="Q19" s="36">
        <v>50.3</v>
      </c>
      <c r="R19" t="s">
        <v>2</v>
      </c>
      <c r="S19" s="253">
        <f t="shared" si="1"/>
        <v>7295.3982213999989</v>
      </c>
      <c r="T19" t="s">
        <v>38</v>
      </c>
      <c r="U19" s="254">
        <v>3.5999999999999997E-2</v>
      </c>
      <c r="V19" s="249">
        <v>2.74</v>
      </c>
      <c r="W19" t="s">
        <v>41</v>
      </c>
      <c r="X19" s="253">
        <f t="shared" si="2"/>
        <v>397.40340212000001</v>
      </c>
      <c r="Y19" t="s">
        <v>42</v>
      </c>
      <c r="Z19" s="36">
        <v>86.2</v>
      </c>
      <c r="AA19" t="s">
        <v>2</v>
      </c>
      <c r="AB19" s="253">
        <f t="shared" si="3"/>
        <v>12502.253015599999</v>
      </c>
      <c r="AC19" t="s">
        <v>38</v>
      </c>
      <c r="AD19" s="249">
        <v>2.74</v>
      </c>
      <c r="AE19" t="s">
        <v>41</v>
      </c>
      <c r="AF19" s="253">
        <f t="shared" si="4"/>
        <v>397.40340212000001</v>
      </c>
      <c r="AG19" t="s">
        <v>42</v>
      </c>
      <c r="AH19" s="36">
        <v>82.7</v>
      </c>
      <c r="AI19" t="s">
        <v>2</v>
      </c>
      <c r="AJ19" s="253">
        <f t="shared" si="5"/>
        <v>11994.620932599999</v>
      </c>
      <c r="AK19" t="s">
        <v>38</v>
      </c>
      <c r="AL19" s="255">
        <v>0.35</v>
      </c>
      <c r="AM19" s="256">
        <f t="shared" si="6"/>
        <v>1.0148148148148148</v>
      </c>
      <c r="AN19" t="s">
        <v>41</v>
      </c>
      <c r="AO19" s="253">
        <f t="shared" si="7"/>
        <v>147.18644522962961</v>
      </c>
      <c r="AP19" t="s">
        <v>42</v>
      </c>
    </row>
    <row r="20" spans="1:42" ht="16.5" x14ac:dyDescent="0.25">
      <c r="B20" s="144" t="s">
        <v>232</v>
      </c>
      <c r="C20" s="209" t="s">
        <v>235</v>
      </c>
      <c r="D20" s="209" t="s">
        <v>231</v>
      </c>
      <c r="E20" s="249">
        <v>1.1399999999999999</v>
      </c>
      <c r="F20" s="209" t="s">
        <v>6</v>
      </c>
      <c r="G20" s="250">
        <f t="shared" si="0"/>
        <v>4.1184779999999997E-2</v>
      </c>
      <c r="H20" s="209" t="s">
        <v>142</v>
      </c>
      <c r="I20" s="251">
        <v>1000</v>
      </c>
      <c r="J20" s="251">
        <v>470</v>
      </c>
      <c r="K20" s="251">
        <v>650</v>
      </c>
      <c r="M20" s="252" t="s">
        <v>239</v>
      </c>
      <c r="N20" s="252" t="s">
        <v>242</v>
      </c>
      <c r="O20" s="252" t="s">
        <v>236</v>
      </c>
      <c r="Q20" s="36">
        <v>53.1</v>
      </c>
      <c r="R20" t="s">
        <v>2</v>
      </c>
      <c r="S20" s="253">
        <f t="shared" si="1"/>
        <v>7701.5038877999996</v>
      </c>
      <c r="T20" t="s">
        <v>38</v>
      </c>
      <c r="U20" s="254">
        <v>7.4999999999999997E-2</v>
      </c>
      <c r="V20" s="249">
        <v>2.62</v>
      </c>
      <c r="W20" t="s">
        <v>41</v>
      </c>
      <c r="X20" s="253">
        <f t="shared" si="2"/>
        <v>379.99887355999999</v>
      </c>
      <c r="Y20" t="s">
        <v>42</v>
      </c>
      <c r="Z20" s="36">
        <v>80</v>
      </c>
      <c r="AA20" t="s">
        <v>2</v>
      </c>
      <c r="AB20" s="253">
        <f t="shared" si="3"/>
        <v>11603.019039999999</v>
      </c>
      <c r="AC20" t="s">
        <v>38</v>
      </c>
      <c r="AD20" s="249">
        <v>2.74</v>
      </c>
      <c r="AE20" t="s">
        <v>41</v>
      </c>
      <c r="AF20" s="253">
        <f t="shared" si="4"/>
        <v>397.40340212000001</v>
      </c>
      <c r="AG20" t="s">
        <v>42</v>
      </c>
      <c r="AH20" s="36">
        <v>65.5</v>
      </c>
      <c r="AI20" t="s">
        <v>2</v>
      </c>
      <c r="AJ20" s="253">
        <f t="shared" si="5"/>
        <v>9499.9718389999998</v>
      </c>
      <c r="AK20" t="s">
        <v>38</v>
      </c>
      <c r="AL20" s="255">
        <v>0.35</v>
      </c>
      <c r="AM20" s="256">
        <f t="shared" si="6"/>
        <v>0.97037037037037033</v>
      </c>
      <c r="AN20" t="s">
        <v>41</v>
      </c>
      <c r="AO20" s="253">
        <f t="shared" si="7"/>
        <v>140.74032354074072</v>
      </c>
      <c r="AP20" t="s">
        <v>42</v>
      </c>
    </row>
    <row r="21" spans="1:42" ht="16.5" x14ac:dyDescent="0.25">
      <c r="B21" s="144" t="s">
        <v>233</v>
      </c>
      <c r="C21" s="209" t="s">
        <v>235</v>
      </c>
      <c r="D21" s="209" t="s">
        <v>231</v>
      </c>
      <c r="E21" s="249">
        <v>1.1399999999999999</v>
      </c>
      <c r="F21" s="209" t="s">
        <v>6</v>
      </c>
      <c r="G21" s="250">
        <f t="shared" si="0"/>
        <v>4.1184779999999997E-2</v>
      </c>
      <c r="H21" s="209" t="s">
        <v>142</v>
      </c>
      <c r="I21" s="251">
        <v>1000</v>
      </c>
      <c r="J21" s="251">
        <v>400</v>
      </c>
      <c r="K21" s="251">
        <v>600</v>
      </c>
      <c r="M21" s="252" t="s">
        <v>240</v>
      </c>
      <c r="N21" s="252" t="s">
        <v>242</v>
      </c>
      <c r="O21" s="252" t="s">
        <v>237</v>
      </c>
      <c r="Q21" s="36">
        <v>55.15</v>
      </c>
      <c r="R21" t="s">
        <v>2</v>
      </c>
      <c r="S21" s="253">
        <f t="shared" si="1"/>
        <v>7998.8312506999991</v>
      </c>
      <c r="T21" t="s">
        <v>38</v>
      </c>
      <c r="U21" s="254">
        <v>7.0000000000000007E-2</v>
      </c>
      <c r="V21" s="249">
        <v>2.69</v>
      </c>
      <c r="W21" t="s">
        <v>41</v>
      </c>
      <c r="X21" s="253">
        <f t="shared" si="2"/>
        <v>390.15151521999996</v>
      </c>
      <c r="Y21" t="s">
        <v>42</v>
      </c>
      <c r="Z21" s="36">
        <v>80</v>
      </c>
      <c r="AA21" t="s">
        <v>2</v>
      </c>
      <c r="AB21" s="253">
        <f t="shared" si="3"/>
        <v>11603.019039999999</v>
      </c>
      <c r="AC21" t="s">
        <v>38</v>
      </c>
      <c r="AD21" s="249">
        <v>2.74</v>
      </c>
      <c r="AE21" t="s">
        <v>41</v>
      </c>
      <c r="AF21" s="253">
        <f t="shared" si="4"/>
        <v>397.40340212000001</v>
      </c>
      <c r="AG21" t="s">
        <v>42</v>
      </c>
      <c r="AH21" s="36">
        <v>68.25</v>
      </c>
      <c r="AI21" t="s">
        <v>2</v>
      </c>
      <c r="AJ21" s="253">
        <f t="shared" si="5"/>
        <v>9898.8256184999991</v>
      </c>
      <c r="AK21" t="s">
        <v>38</v>
      </c>
      <c r="AL21" s="255">
        <v>0.35</v>
      </c>
      <c r="AM21" s="256">
        <f t="shared" si="6"/>
        <v>0.99629629629629624</v>
      </c>
      <c r="AN21" t="s">
        <v>41</v>
      </c>
      <c r="AO21" s="253">
        <f t="shared" si="7"/>
        <v>144.50056119259258</v>
      </c>
      <c r="AP21" t="s">
        <v>42</v>
      </c>
    </row>
    <row r="22" spans="1:42" ht="16.5" x14ac:dyDescent="0.25">
      <c r="B22" s="144" t="s">
        <v>234</v>
      </c>
      <c r="C22" s="209" t="s">
        <v>235</v>
      </c>
      <c r="D22" s="209" t="s">
        <v>231</v>
      </c>
      <c r="E22" s="249">
        <v>1.1399999999999999</v>
      </c>
      <c r="F22" s="209" t="s">
        <v>6</v>
      </c>
      <c r="G22" s="250">
        <f t="shared" si="0"/>
        <v>4.1184779999999997E-2</v>
      </c>
      <c r="H22" s="209" t="s">
        <v>142</v>
      </c>
      <c r="I22" s="251">
        <v>1000</v>
      </c>
      <c r="J22" s="251">
        <v>400</v>
      </c>
      <c r="K22" s="251">
        <v>600</v>
      </c>
      <c r="M22" s="252" t="s">
        <v>241</v>
      </c>
      <c r="N22" s="252" t="s">
        <v>242</v>
      </c>
      <c r="O22" s="252" t="s">
        <v>238</v>
      </c>
      <c r="Q22" s="36">
        <v>50.3</v>
      </c>
      <c r="R22" t="s">
        <v>2</v>
      </c>
      <c r="S22" s="253">
        <f t="shared" si="1"/>
        <v>7295.3982213999989</v>
      </c>
      <c r="T22" t="s">
        <v>38</v>
      </c>
      <c r="U22" s="254">
        <v>6.7000000000000004E-2</v>
      </c>
      <c r="V22" s="249">
        <v>2.48</v>
      </c>
      <c r="W22" t="s">
        <v>41</v>
      </c>
      <c r="X22" s="253">
        <f t="shared" si="2"/>
        <v>359.69359023999999</v>
      </c>
      <c r="Y22" t="s">
        <v>42</v>
      </c>
      <c r="Z22" s="36">
        <v>70.33</v>
      </c>
      <c r="AA22" t="s">
        <v>2</v>
      </c>
      <c r="AB22" s="253">
        <f t="shared" si="3"/>
        <v>10200.504113539999</v>
      </c>
      <c r="AC22" t="s">
        <v>38</v>
      </c>
      <c r="AD22" s="249">
        <v>2.74</v>
      </c>
      <c r="AE22" t="s">
        <v>41</v>
      </c>
      <c r="AF22" s="253">
        <f t="shared" si="4"/>
        <v>397.40340212000001</v>
      </c>
      <c r="AG22" t="s">
        <v>42</v>
      </c>
      <c r="AH22" s="36">
        <v>61.35</v>
      </c>
      <c r="AI22" t="s">
        <v>2</v>
      </c>
      <c r="AJ22" s="253">
        <f t="shared" si="5"/>
        <v>8898.0652262999993</v>
      </c>
      <c r="AK22" t="s">
        <v>38</v>
      </c>
      <c r="AL22" s="255">
        <v>0.35</v>
      </c>
      <c r="AM22" s="256">
        <f t="shared" si="6"/>
        <v>0.9185185185185184</v>
      </c>
      <c r="AN22" t="s">
        <v>41</v>
      </c>
      <c r="AO22" s="253">
        <f t="shared" si="7"/>
        <v>133.21984823703701</v>
      </c>
      <c r="AP22" t="s">
        <v>42</v>
      </c>
    </row>
    <row r="23" spans="1:42" ht="16.5" x14ac:dyDescent="0.25">
      <c r="B23" s="144" t="s">
        <v>120</v>
      </c>
      <c r="C23" s="208" t="s">
        <v>129</v>
      </c>
      <c r="D23" s="210" t="s">
        <v>117</v>
      </c>
      <c r="E23" s="249">
        <v>1.2</v>
      </c>
      <c r="F23" s="209" t="s">
        <v>6</v>
      </c>
      <c r="G23" s="250">
        <f t="shared" si="0"/>
        <v>4.3352399999999999E-2</v>
      </c>
      <c r="H23" s="209" t="s">
        <v>142</v>
      </c>
      <c r="S23" s="32"/>
      <c r="V23" s="249">
        <v>3.6</v>
      </c>
      <c r="W23" t="s">
        <v>41</v>
      </c>
      <c r="X23" s="253">
        <f t="shared" si="2"/>
        <v>522.13585679999994</v>
      </c>
      <c r="Y23" t="s">
        <v>42</v>
      </c>
      <c r="AB23" s="32"/>
      <c r="AF23" s="32"/>
      <c r="AJ23" s="32"/>
      <c r="AL23" s="257">
        <v>0.35</v>
      </c>
      <c r="AM23" s="36">
        <v>1.33</v>
      </c>
      <c r="AN23" t="s">
        <v>41</v>
      </c>
      <c r="AO23" s="253">
        <f t="shared" si="7"/>
        <v>192.90019154000001</v>
      </c>
      <c r="AP23" t="s">
        <v>42</v>
      </c>
    </row>
    <row r="24" spans="1:42" x14ac:dyDescent="0.25">
      <c r="A24"/>
      <c r="B24" s="258" t="s">
        <v>245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</row>
    <row r="25" spans="1:42" ht="16.5" x14ac:dyDescent="0.25">
      <c r="B25" s="144" t="s">
        <v>119</v>
      </c>
      <c r="C25" s="208" t="s">
        <v>129</v>
      </c>
      <c r="D25" s="210" t="s">
        <v>117</v>
      </c>
      <c r="E25" s="241">
        <v>1.2</v>
      </c>
      <c r="F25" s="209" t="s">
        <v>143</v>
      </c>
      <c r="G25" s="242">
        <f>E25*lbs_in3</f>
        <v>4.3352399999999999E-2</v>
      </c>
      <c r="H25" s="209" t="s">
        <v>144</v>
      </c>
      <c r="S25" s="32"/>
      <c r="U25" s="259"/>
      <c r="V25" s="241">
        <v>3</v>
      </c>
      <c r="W25" t="s">
        <v>41</v>
      </c>
      <c r="X25" s="245">
        <f>V25*PSI</f>
        <v>435.11321399999997</v>
      </c>
      <c r="Y25" t="s">
        <v>42</v>
      </c>
      <c r="AB25" s="32"/>
      <c r="AF25" s="32"/>
      <c r="AJ25" s="32"/>
      <c r="AL25" s="260">
        <v>0.316</v>
      </c>
      <c r="AM25" s="188">
        <v>1.1399999999999999</v>
      </c>
      <c r="AN25" t="s">
        <v>41</v>
      </c>
      <c r="AO25" s="245">
        <f>AM25*PSI</f>
        <v>165.34302131999996</v>
      </c>
      <c r="AP25" t="s">
        <v>42</v>
      </c>
    </row>
    <row r="26" spans="1:42" x14ac:dyDescent="0.25">
      <c r="A26"/>
      <c r="B26"/>
      <c r="C26"/>
      <c r="D26"/>
      <c r="E26"/>
      <c r="F26"/>
      <c r="G26"/>
      <c r="H26"/>
      <c r="I26"/>
      <c r="J26"/>
      <c r="K26"/>
      <c r="M26"/>
      <c r="N26"/>
      <c r="O26"/>
      <c r="Q26"/>
      <c r="S26"/>
      <c r="U26"/>
      <c r="V26"/>
      <c r="X26"/>
      <c r="Z26"/>
      <c r="AB26"/>
      <c r="AD26"/>
      <c r="AF26"/>
      <c r="AH26"/>
      <c r="AJ26"/>
      <c r="AL26"/>
      <c r="AM26"/>
      <c r="AN26"/>
      <c r="AO26"/>
      <c r="AP26"/>
    </row>
    <row r="27" spans="1:42" x14ac:dyDescent="0.25">
      <c r="A27"/>
      <c r="B27"/>
      <c r="C27"/>
      <c r="D27"/>
      <c r="E27"/>
      <c r="F27"/>
      <c r="G27"/>
      <c r="H27"/>
      <c r="I27"/>
      <c r="J27"/>
      <c r="K27"/>
      <c r="M27"/>
      <c r="N27"/>
      <c r="O27"/>
      <c r="Q27"/>
      <c r="S27"/>
      <c r="U27"/>
      <c r="V27"/>
      <c r="X27"/>
      <c r="Z27"/>
      <c r="AB27"/>
      <c r="AD27"/>
      <c r="AF27"/>
      <c r="AH27"/>
      <c r="AJ27"/>
      <c r="AL27"/>
      <c r="AM27"/>
      <c r="AN27"/>
      <c r="AO27"/>
      <c r="AP27"/>
    </row>
    <row r="28" spans="1:42" x14ac:dyDescent="0.25">
      <c r="A28"/>
      <c r="B28"/>
      <c r="C28"/>
      <c r="D28"/>
      <c r="E28"/>
      <c r="F28"/>
      <c r="G28"/>
      <c r="H28"/>
      <c r="I28"/>
      <c r="J28"/>
      <c r="K28"/>
      <c r="M28"/>
      <c r="N28"/>
      <c r="O28"/>
      <c r="Q28"/>
      <c r="S28"/>
      <c r="U28"/>
      <c r="V28"/>
      <c r="X28"/>
      <c r="Z28"/>
      <c r="AB28"/>
      <c r="AD28"/>
      <c r="AF28"/>
      <c r="AH28"/>
      <c r="AJ28"/>
      <c r="AL28"/>
      <c r="AM28"/>
      <c r="AN28"/>
      <c r="AO28"/>
      <c r="AP28"/>
    </row>
    <row r="29" spans="1:42" x14ac:dyDescent="0.25">
      <c r="A29"/>
      <c r="B29"/>
      <c r="C29"/>
      <c r="D29"/>
      <c r="E29"/>
      <c r="F29"/>
      <c r="G29"/>
      <c r="H29"/>
      <c r="I29"/>
      <c r="J29"/>
      <c r="K29"/>
      <c r="M29"/>
      <c r="N29"/>
      <c r="O29"/>
      <c r="Q29"/>
      <c r="S29"/>
      <c r="U29"/>
      <c r="V29"/>
      <c r="X29"/>
      <c r="Z29"/>
      <c r="AB29"/>
      <c r="AD29"/>
      <c r="AF29"/>
      <c r="AH29"/>
      <c r="AJ29"/>
      <c r="AL29"/>
      <c r="AM29"/>
      <c r="AN29"/>
      <c r="AO29"/>
      <c r="AP29"/>
    </row>
    <row r="30" spans="1:42" x14ac:dyDescent="0.25">
      <c r="A30"/>
      <c r="B30"/>
      <c r="C30"/>
      <c r="D30"/>
      <c r="E30"/>
      <c r="F30"/>
      <c r="G30"/>
      <c r="H30"/>
      <c r="I30"/>
      <c r="J30"/>
      <c r="K30"/>
      <c r="M30"/>
      <c r="N30"/>
      <c r="O30"/>
      <c r="Q30"/>
      <c r="S30"/>
      <c r="U30"/>
      <c r="V30"/>
      <c r="X30"/>
      <c r="Z30"/>
      <c r="AB30"/>
      <c r="AD30"/>
      <c r="AF30"/>
      <c r="AH30"/>
      <c r="AJ30"/>
      <c r="AL30"/>
      <c r="AM30"/>
      <c r="AN30"/>
      <c r="AO30"/>
      <c r="AP30"/>
    </row>
    <row r="31" spans="1:42" x14ac:dyDescent="0.25">
      <c r="A31"/>
      <c r="B31"/>
      <c r="C31"/>
      <c r="D31"/>
      <c r="E31"/>
      <c r="F31"/>
      <c r="G31"/>
      <c r="H31"/>
      <c r="I31"/>
      <c r="J31"/>
      <c r="K31"/>
      <c r="M31"/>
      <c r="N31"/>
      <c r="O31"/>
      <c r="Q31"/>
      <c r="S31"/>
      <c r="U31"/>
      <c r="V31"/>
      <c r="X31"/>
      <c r="Z31"/>
      <c r="AB31"/>
      <c r="AD31"/>
      <c r="AF31"/>
      <c r="AH31"/>
      <c r="AJ31"/>
      <c r="AL31"/>
      <c r="AM31"/>
      <c r="AN31"/>
      <c r="AO31"/>
      <c r="AP31"/>
    </row>
    <row r="32" spans="1:42" x14ac:dyDescent="0.25">
      <c r="A32"/>
      <c r="B32"/>
      <c r="C32"/>
      <c r="D32"/>
      <c r="E32"/>
      <c r="F32"/>
      <c r="G32"/>
      <c r="H32"/>
      <c r="I32"/>
      <c r="J32"/>
      <c r="K32"/>
      <c r="M32"/>
      <c r="N32"/>
      <c r="O32"/>
      <c r="Q32"/>
      <c r="S32"/>
      <c r="U32"/>
      <c r="V32"/>
      <c r="X32"/>
      <c r="Z32"/>
      <c r="AB32"/>
      <c r="AD32"/>
      <c r="AF32"/>
      <c r="AH32"/>
      <c r="AJ32"/>
      <c r="AL32"/>
      <c r="AM32"/>
      <c r="AN32"/>
      <c r="AO32"/>
      <c r="AP32"/>
    </row>
    <row r="33" spans="1:42" x14ac:dyDescent="0.25">
      <c r="A33"/>
      <c r="B33"/>
      <c r="C33"/>
      <c r="D33"/>
      <c r="E33"/>
      <c r="F33"/>
      <c r="G33"/>
      <c r="H33"/>
      <c r="I33"/>
      <c r="J33"/>
      <c r="K33"/>
      <c r="M33"/>
      <c r="N33"/>
      <c r="O33"/>
      <c r="Q33"/>
      <c r="S33"/>
      <c r="U33"/>
      <c r="V33"/>
      <c r="X33"/>
      <c r="Z33"/>
      <c r="AB33"/>
      <c r="AD33"/>
      <c r="AF33"/>
      <c r="AH33"/>
      <c r="AJ33"/>
      <c r="AL33"/>
      <c r="AM33"/>
      <c r="AN33"/>
      <c r="AO33"/>
      <c r="AP33"/>
    </row>
    <row r="34" spans="1:42" x14ac:dyDescent="0.25">
      <c r="A34"/>
      <c r="B34"/>
      <c r="C34"/>
      <c r="D34"/>
      <c r="E34"/>
      <c r="F34"/>
      <c r="G34"/>
      <c r="H34"/>
      <c r="I34"/>
      <c r="J34"/>
      <c r="K34"/>
      <c r="M34"/>
      <c r="N34"/>
      <c r="O34"/>
      <c r="Q34"/>
      <c r="S34"/>
      <c r="U34"/>
      <c r="V34"/>
      <c r="X34"/>
      <c r="Z34"/>
      <c r="AB34"/>
      <c r="AD34"/>
      <c r="AF34"/>
      <c r="AH34"/>
      <c r="AJ34"/>
      <c r="AL34"/>
      <c r="AM34"/>
      <c r="AN34"/>
      <c r="AO34"/>
      <c r="AP34"/>
    </row>
    <row r="35" spans="1:42" x14ac:dyDescent="0.25">
      <c r="A35"/>
      <c r="B35"/>
      <c r="C35"/>
      <c r="D35"/>
      <c r="E35"/>
      <c r="F35"/>
      <c r="G35"/>
      <c r="H35"/>
      <c r="I35"/>
      <c r="J35"/>
      <c r="K35"/>
      <c r="M35"/>
      <c r="N35"/>
      <c r="O35"/>
      <c r="Q35"/>
      <c r="S35"/>
      <c r="U35"/>
      <c r="V35"/>
      <c r="X35"/>
      <c r="Z35"/>
      <c r="AB35"/>
      <c r="AD35"/>
      <c r="AF35"/>
      <c r="AH35"/>
      <c r="AJ35"/>
      <c r="AL35"/>
      <c r="AM35"/>
      <c r="AN35"/>
      <c r="AO35"/>
      <c r="AP35"/>
    </row>
    <row r="36" spans="1:42" x14ac:dyDescent="0.25">
      <c r="S36" s="32"/>
      <c r="X36" s="32"/>
      <c r="AB36" s="32"/>
      <c r="AF36" s="32"/>
      <c r="AJ36" s="32"/>
      <c r="AO36" s="32"/>
    </row>
    <row r="37" spans="1:42" x14ac:dyDescent="0.25">
      <c r="S37" s="32"/>
      <c r="X37" s="32"/>
      <c r="AB37" s="32"/>
      <c r="AF37" s="32"/>
      <c r="AJ37" s="32"/>
      <c r="AO37" s="32"/>
    </row>
    <row r="38" spans="1:42" x14ac:dyDescent="0.25">
      <c r="S38" s="32"/>
      <c r="X38" s="32"/>
      <c r="AB38" s="32"/>
      <c r="AF38" s="32"/>
      <c r="AJ38" s="32"/>
      <c r="AO38" s="32"/>
    </row>
    <row r="39" spans="1:42" x14ac:dyDescent="0.25">
      <c r="S39" s="32"/>
      <c r="X39" s="32"/>
      <c r="AB39" s="32"/>
      <c r="AF39" s="32"/>
      <c r="AJ39" s="32"/>
      <c r="AO39" s="32"/>
    </row>
    <row r="40" spans="1:42" x14ac:dyDescent="0.25">
      <c r="S40" s="32"/>
      <c r="X40" s="32"/>
      <c r="AB40" s="32"/>
      <c r="AF40" s="32"/>
      <c r="AJ40" s="32"/>
      <c r="AO40" s="32"/>
    </row>
    <row r="41" spans="1:42" x14ac:dyDescent="0.25">
      <c r="S41" s="32"/>
      <c r="X41" s="32"/>
      <c r="AB41" s="32"/>
      <c r="AF41" s="32"/>
      <c r="AJ41" s="32"/>
      <c r="AO41" s="32"/>
    </row>
    <row r="42" spans="1:42" x14ac:dyDescent="0.25">
      <c r="S42" s="32"/>
      <c r="X42" s="32"/>
      <c r="AB42" s="32"/>
      <c r="AF42" s="32"/>
      <c r="AJ42" s="32"/>
      <c r="AO42" s="32"/>
    </row>
    <row r="43" spans="1:42" x14ac:dyDescent="0.25">
      <c r="S43" s="32"/>
      <c r="X43" s="32"/>
      <c r="AB43" s="32"/>
      <c r="AF43" s="32"/>
      <c r="AJ43" s="32"/>
      <c r="AO43" s="32"/>
    </row>
    <row r="44" spans="1:42" x14ac:dyDescent="0.25">
      <c r="S44" s="32"/>
      <c r="X44" s="32"/>
      <c r="AB44" s="32"/>
      <c r="AF44" s="32"/>
      <c r="AJ44" s="32"/>
      <c r="AO44" s="32"/>
    </row>
    <row r="45" spans="1:42" x14ac:dyDescent="0.25">
      <c r="S45" s="32"/>
      <c r="X45" s="32"/>
      <c r="AB45" s="32"/>
      <c r="AF45" s="32"/>
      <c r="AJ45" s="32"/>
      <c r="AO45" s="32"/>
    </row>
    <row r="46" spans="1:42" x14ac:dyDescent="0.25">
      <c r="S46" s="32"/>
      <c r="X46" s="32"/>
      <c r="AB46" s="32"/>
      <c r="AF46" s="32"/>
      <c r="AJ46" s="32"/>
      <c r="AO46" s="32"/>
    </row>
    <row r="47" spans="1:42" x14ac:dyDescent="0.25">
      <c r="S47" s="32"/>
      <c r="X47" s="32"/>
      <c r="AB47" s="32"/>
      <c r="AF47" s="32"/>
      <c r="AJ47" s="32"/>
      <c r="AO47" s="32"/>
    </row>
    <row r="48" spans="1:42" x14ac:dyDescent="0.25">
      <c r="S48" s="32"/>
      <c r="X48" s="32"/>
      <c r="AB48" s="32"/>
      <c r="AF48" s="32"/>
      <c r="AJ48" s="32"/>
      <c r="AO48" s="32"/>
    </row>
    <row r="49" spans="19:41" x14ac:dyDescent="0.25">
      <c r="S49" s="32"/>
      <c r="X49" s="32"/>
      <c r="AB49" s="32"/>
      <c r="AJ49" s="32"/>
      <c r="AO49" s="32"/>
    </row>
    <row r="50" spans="19:41" x14ac:dyDescent="0.25">
      <c r="S50" s="32"/>
      <c r="X50" s="32"/>
      <c r="AB50" s="32"/>
      <c r="AJ50" s="32"/>
      <c r="AO50" s="32"/>
    </row>
    <row r="51" spans="19:41" x14ac:dyDescent="0.25">
      <c r="X51" s="32"/>
      <c r="AB51" s="32"/>
      <c r="AJ51" s="32"/>
      <c r="AO51" s="32"/>
    </row>
    <row r="52" spans="19:41" x14ac:dyDescent="0.25">
      <c r="X52" s="32"/>
      <c r="AB52" s="32"/>
      <c r="AJ52" s="32"/>
      <c r="AO52" s="32"/>
    </row>
    <row r="53" spans="19:41" x14ac:dyDescent="0.25">
      <c r="AB53" s="32"/>
      <c r="AO53" s="32"/>
    </row>
    <row r="54" spans="19:41" x14ac:dyDescent="0.25">
      <c r="AB54" s="32"/>
    </row>
    <row r="55" spans="19:41" x14ac:dyDescent="0.25">
      <c r="AB55" s="32"/>
    </row>
  </sheetData>
  <mergeCells count="8">
    <mergeCell ref="AM10:AP10"/>
    <mergeCell ref="Z10:AC10"/>
    <mergeCell ref="AD10:AG10"/>
    <mergeCell ref="AH10:AK10"/>
    <mergeCell ref="E10:H10"/>
    <mergeCell ref="I10:K10"/>
    <mergeCell ref="Q10:T10"/>
    <mergeCell ref="V10:Y10"/>
  </mergeCells>
  <phoneticPr fontId="1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CC93-0060-4293-BAD2-26484D30BD63}">
  <dimension ref="A1"/>
  <sheetViews>
    <sheetView topLeftCell="A4" workbookViewId="0">
      <selection activeCell="S28" sqref="S2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43</vt:i4>
      </vt:variant>
    </vt:vector>
  </HeadingPairs>
  <TitlesOfParts>
    <vt:vector size="48" baseType="lpstr">
      <vt:lpstr>Single Ply DNV</vt:lpstr>
      <vt:lpstr>Transverse Modulus</vt:lpstr>
      <vt:lpstr>Fiber Data</vt:lpstr>
      <vt:lpstr>Matrix Data</vt:lpstr>
      <vt:lpstr>DNV Ref</vt:lpstr>
      <vt:lpstr>ℰ</vt:lpstr>
      <vt:lpstr>E_11</vt:lpstr>
      <vt:lpstr>E_CSM</vt:lpstr>
      <vt:lpstr>E22_Brin</vt:lpstr>
      <vt:lpstr>E22_Chamis</vt:lpstr>
      <vt:lpstr>E22_DNV</vt:lpstr>
      <vt:lpstr>E22_HT</vt:lpstr>
      <vt:lpstr>E22_ROM</vt:lpstr>
      <vt:lpstr>EfL</vt:lpstr>
      <vt:lpstr>EfT</vt:lpstr>
      <vt:lpstr>Em</vt:lpstr>
      <vt:lpstr>Ém</vt:lpstr>
      <vt:lpstr>Fiber_Type</vt:lpstr>
      <vt:lpstr>G_12</vt:lpstr>
      <vt:lpstr>G_CSM</vt:lpstr>
      <vt:lpstr>Gf_12</vt:lpstr>
      <vt:lpstr>Gm</vt:lpstr>
      <vt:lpstr>lbs_in3</vt:lpstr>
      <vt:lpstr>'Single Ply DNV'!n</vt:lpstr>
      <vt:lpstr>n</vt:lpstr>
      <vt:lpstr>ŋ</vt:lpstr>
      <vt:lpstr>Pf</vt:lpstr>
      <vt:lpstr>Pl</vt:lpstr>
      <vt:lpstr>Pm</vt:lpstr>
      <vt:lpstr>PSI</vt:lpstr>
      <vt:lpstr>Q_11</vt:lpstr>
      <vt:lpstr>Q_12</vt:lpstr>
      <vt:lpstr>Q_21</vt:lpstr>
      <vt:lpstr>Q_22</vt:lpstr>
      <vt:lpstr>Q_33</vt:lpstr>
      <vt:lpstr>Q11_CSM</vt:lpstr>
      <vt:lpstr>Q12_CSM</vt:lpstr>
      <vt:lpstr>Q22_CSM</vt:lpstr>
      <vt:lpstr>Q33_CSM</vt:lpstr>
      <vt:lpstr>Resin_Type</vt:lpstr>
      <vt:lpstr>v_12</vt:lpstr>
      <vt:lpstr>v_21</vt:lpstr>
      <vt:lpstr>v_CSM</vt:lpstr>
      <vt:lpstr>vf_12</vt:lpstr>
      <vt:lpstr>vm</vt:lpstr>
      <vt:lpstr>ϴ</vt:lpstr>
      <vt:lpstr>ϕ</vt:lpstr>
      <vt:lpstr>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Krumm</dc:creator>
  <cp:lastModifiedBy>Chris Krumm</cp:lastModifiedBy>
  <dcterms:created xsi:type="dcterms:W3CDTF">2024-07-10T21:05:52Z</dcterms:created>
  <dcterms:modified xsi:type="dcterms:W3CDTF">2024-07-27T19:53:35Z</dcterms:modified>
</cp:coreProperties>
</file>